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:\Site Internet et FB\2023\AgriMandats\"/>
    </mc:Choice>
  </mc:AlternateContent>
  <xr:revisionPtr revIDLastSave="0" documentId="8_{FF5A567C-1FE5-4ED1-8477-121B87AA3D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étail" sheetId="1" r:id="rId1"/>
    <sheet name="synthèse" sheetId="4" r:id="rId2"/>
  </sheets>
  <definedNames>
    <definedName name="_xlnm._FilterDatabase" localSheetId="0" hidden="1">détail!$C$6:$C$7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6" i="4" l="1"/>
  <c r="B73" i="4"/>
  <c r="M84" i="1"/>
  <c r="M85" i="1"/>
  <c r="M86" i="1"/>
  <c r="M87" i="1"/>
  <c r="M88" i="1"/>
  <c r="M89" i="1"/>
  <c r="M90" i="1"/>
  <c r="M91" i="1"/>
  <c r="M83" i="1"/>
  <c r="M82" i="1"/>
  <c r="Q20" i="1"/>
  <c r="Q19" i="1"/>
  <c r="G9" i="1"/>
  <c r="G10" i="1" s="1"/>
  <c r="G11" i="1" s="1"/>
  <c r="G12" i="1" s="1"/>
  <c r="G13" i="1" s="1"/>
  <c r="G14" i="1" s="1"/>
  <c r="G15" i="1" s="1"/>
  <c r="G16" i="1" s="1"/>
  <c r="G17" i="1" s="1"/>
  <c r="G18" i="1" s="1"/>
  <c r="J9" i="1"/>
  <c r="D5" i="1"/>
  <c r="F9" i="1"/>
  <c r="B19" i="4"/>
  <c r="B20" i="4"/>
  <c r="F19" i="4"/>
  <c r="F20" i="4"/>
  <c r="M93" i="1" l="1"/>
  <c r="D44" i="4" s="1"/>
  <c r="M92" i="1"/>
  <c r="G19" i="1"/>
  <c r="F12" i="4" s="1"/>
  <c r="A2" i="4"/>
  <c r="C75" i="4"/>
  <c r="C58" i="4"/>
  <c r="F11" i="4"/>
  <c r="B63" i="4"/>
  <c r="B64" i="4"/>
  <c r="B65" i="4"/>
  <c r="B67" i="4"/>
  <c r="B68" i="4"/>
  <c r="B69" i="4"/>
  <c r="B70" i="4"/>
  <c r="C71" i="4"/>
  <c r="C72" i="4"/>
  <c r="B74" i="4"/>
  <c r="B76" i="4"/>
  <c r="C77" i="4"/>
  <c r="E63" i="4"/>
  <c r="B46" i="4"/>
  <c r="B47" i="4"/>
  <c r="B48" i="4"/>
  <c r="B49" i="4"/>
  <c r="B66" i="4" s="1"/>
  <c r="F49" i="4"/>
  <c r="F66" i="4" s="1"/>
  <c r="B50" i="4"/>
  <c r="B51" i="4"/>
  <c r="B52" i="4"/>
  <c r="B53" i="4"/>
  <c r="C54" i="4"/>
  <c r="C55" i="4"/>
  <c r="B57" i="4"/>
  <c r="B59" i="4"/>
  <c r="C60" i="4"/>
  <c r="B61" i="4"/>
  <c r="F61" i="4"/>
  <c r="B35" i="4"/>
  <c r="C35" i="4"/>
  <c r="B36" i="4"/>
  <c r="C36" i="4"/>
  <c r="B37" i="4"/>
  <c r="C37" i="4"/>
  <c r="B38" i="4"/>
  <c r="C38" i="4"/>
  <c r="B39" i="4"/>
  <c r="C39" i="4"/>
  <c r="B40" i="4"/>
  <c r="C40" i="4"/>
  <c r="B41" i="4"/>
  <c r="D41" i="4"/>
  <c r="B42" i="4"/>
  <c r="B24" i="4"/>
  <c r="C24" i="4"/>
  <c r="D24" i="4"/>
  <c r="E24" i="4"/>
  <c r="B25" i="4"/>
  <c r="C25" i="4"/>
  <c r="D25" i="4"/>
  <c r="B26" i="4"/>
  <c r="C26" i="4"/>
  <c r="D26" i="4"/>
  <c r="B27" i="4"/>
  <c r="C27" i="4"/>
  <c r="D27" i="4"/>
  <c r="B28" i="4"/>
  <c r="C28" i="4"/>
  <c r="D28" i="4"/>
  <c r="B29" i="4"/>
  <c r="C29" i="4"/>
  <c r="D29" i="4"/>
  <c r="B30" i="4"/>
  <c r="C30" i="4"/>
  <c r="D30" i="4"/>
  <c r="B31" i="4"/>
  <c r="C31" i="4"/>
  <c r="D31" i="4"/>
  <c r="B32" i="4"/>
  <c r="B33" i="4"/>
  <c r="F21" i="4"/>
  <c r="B4" i="4"/>
  <c r="D4" i="4"/>
  <c r="B5" i="4"/>
  <c r="E5" i="4"/>
  <c r="B6" i="4"/>
  <c r="D6" i="4"/>
  <c r="F6" i="4" s="1"/>
  <c r="E6" i="4"/>
  <c r="G6" i="4" s="1"/>
  <c r="C97" i="1"/>
  <c r="E103" i="1" s="1"/>
  <c r="O68" i="1"/>
  <c r="O67" i="1"/>
  <c r="M68" i="1"/>
  <c r="Z67" i="1"/>
  <c r="V67" i="1"/>
  <c r="E44" i="1"/>
  <c r="E45" i="1" s="1"/>
  <c r="E46" i="1" s="1"/>
  <c r="E47" i="1" s="1"/>
  <c r="E48" i="1" s="1"/>
  <c r="E49" i="1" s="1"/>
  <c r="E51" i="1" s="1"/>
  <c r="E52" i="1" s="1"/>
  <c r="E53" i="1" s="1"/>
  <c r="L9" i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N19" i="1" s="1"/>
  <c r="P19" i="1" s="1"/>
  <c r="R19" i="1" s="1"/>
  <c r="J10" i="1"/>
  <c r="J11" i="1" s="1"/>
  <c r="J12" i="1" s="1"/>
  <c r="J13" i="1" s="1"/>
  <c r="J14" i="1" s="1"/>
  <c r="J15" i="1" s="1"/>
  <c r="J16" i="1" s="1"/>
  <c r="J17" i="1" s="1"/>
  <c r="J18" i="1" s="1"/>
  <c r="J19" i="1" s="1"/>
  <c r="E7" i="4" s="1"/>
  <c r="G7" i="4" s="1"/>
  <c r="G83" i="1"/>
  <c r="G84" i="1"/>
  <c r="G85" i="1"/>
  <c r="G86" i="1"/>
  <c r="G87" i="1"/>
  <c r="G88" i="1"/>
  <c r="G89" i="1"/>
  <c r="G90" i="1"/>
  <c r="G91" i="1"/>
  <c r="O20" i="1"/>
  <c r="O19" i="1"/>
  <c r="M67" i="1"/>
  <c r="D75" i="1" s="1"/>
  <c r="D40" i="4" s="1"/>
  <c r="D51" i="1"/>
  <c r="D32" i="4" s="1"/>
  <c r="D19" i="1"/>
  <c r="C99" i="1" s="1"/>
  <c r="E99" i="1" s="1"/>
  <c r="E65" i="4" s="1"/>
  <c r="C98" i="1"/>
  <c r="C107" i="1" l="1"/>
  <c r="D56" i="4" s="1"/>
  <c r="M94" i="1"/>
  <c r="E48" i="4"/>
  <c r="E11" i="4"/>
  <c r="E98" i="1"/>
  <c r="D64" i="4" s="1"/>
  <c r="E46" i="4"/>
  <c r="D47" i="4"/>
  <c r="E25" i="4"/>
  <c r="E27" i="4"/>
  <c r="E29" i="4"/>
  <c r="E8" i="4"/>
  <c r="E13" i="4"/>
  <c r="E33" i="4"/>
  <c r="E14" i="4"/>
  <c r="E30" i="4"/>
  <c r="E26" i="4"/>
  <c r="E32" i="4"/>
  <c r="E28" i="4"/>
  <c r="E50" i="1"/>
  <c r="E31" i="4" s="1"/>
  <c r="N14" i="1"/>
  <c r="P14" i="1" s="1"/>
  <c r="N13" i="1"/>
  <c r="P13" i="1" s="1"/>
  <c r="L20" i="1"/>
  <c r="N20" i="1" s="1"/>
  <c r="N12" i="1"/>
  <c r="P12" i="1" s="1"/>
  <c r="D57" i="1"/>
  <c r="N9" i="1"/>
  <c r="P9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N11" i="1"/>
  <c r="P11" i="1" s="1"/>
  <c r="N17" i="1"/>
  <c r="P17" i="1" s="1"/>
  <c r="G92" i="1"/>
  <c r="G93" i="1" s="1"/>
  <c r="N10" i="1"/>
  <c r="P10" i="1" s="1"/>
  <c r="N16" i="1"/>
  <c r="P16" i="1" s="1"/>
  <c r="N18" i="1"/>
  <c r="P18" i="1" s="1"/>
  <c r="N15" i="1"/>
  <c r="P15" i="1" s="1"/>
  <c r="I19" i="1"/>
  <c r="D7" i="4" s="1"/>
  <c r="D8" i="4" s="1"/>
  <c r="F18" i="1"/>
  <c r="F17" i="1"/>
  <c r="F16" i="1"/>
  <c r="F15" i="1"/>
  <c r="F10" i="1"/>
  <c r="F11" i="1"/>
  <c r="F12" i="1"/>
  <c r="F13" i="1"/>
  <c r="F14" i="1"/>
  <c r="E19" i="4"/>
  <c r="E107" i="1" l="1"/>
  <c r="D73" i="4" s="1"/>
  <c r="F7" i="4"/>
  <c r="P20" i="1"/>
  <c r="R20" i="1" s="1"/>
  <c r="E15" i="4"/>
  <c r="F30" i="4"/>
  <c r="G30" i="4"/>
  <c r="G14" i="4"/>
  <c r="F31" i="4"/>
  <c r="G31" i="4"/>
  <c r="G33" i="4"/>
  <c r="G13" i="4"/>
  <c r="F8" i="4"/>
  <c r="G8" i="4"/>
  <c r="G28" i="4"/>
  <c r="F28" i="4"/>
  <c r="F29" i="4"/>
  <c r="G29" i="4"/>
  <c r="G32" i="4"/>
  <c r="F32" i="4"/>
  <c r="F27" i="4"/>
  <c r="G27" i="4"/>
  <c r="G26" i="4"/>
  <c r="F26" i="4"/>
  <c r="G25" i="4"/>
  <c r="F25" i="4"/>
  <c r="H12" i="1"/>
  <c r="M12" i="1"/>
  <c r="E85" i="1" s="1"/>
  <c r="H11" i="1"/>
  <c r="M11" i="1"/>
  <c r="E84" i="1" s="1"/>
  <c r="H10" i="1"/>
  <c r="M10" i="1"/>
  <c r="E83" i="1" s="1"/>
  <c r="H15" i="1"/>
  <c r="M15" i="1"/>
  <c r="E88" i="1" s="1"/>
  <c r="H16" i="1"/>
  <c r="M16" i="1"/>
  <c r="E89" i="1" s="1"/>
  <c r="H9" i="1"/>
  <c r="M9" i="1"/>
  <c r="E82" i="1" s="1"/>
  <c r="K17" i="1"/>
  <c r="M17" i="1"/>
  <c r="E90" i="1" s="1"/>
  <c r="H14" i="1"/>
  <c r="M14" i="1"/>
  <c r="E87" i="1" s="1"/>
  <c r="K18" i="1"/>
  <c r="M18" i="1"/>
  <c r="E91" i="1" s="1"/>
  <c r="H13" i="1"/>
  <c r="M13" i="1"/>
  <c r="E86" i="1" s="1"/>
  <c r="G94" i="1"/>
  <c r="T67" i="1"/>
  <c r="F57" i="1"/>
  <c r="H57" i="1" s="1"/>
  <c r="J57" i="1" s="1"/>
  <c r="L57" i="1" s="1"/>
  <c r="N57" i="1" s="1"/>
  <c r="P57" i="1" s="1"/>
  <c r="D58" i="1"/>
  <c r="D52" i="1"/>
  <c r="C39" i="1"/>
  <c r="C38" i="1"/>
  <c r="C31" i="1"/>
  <c r="C30" i="1"/>
  <c r="C32" i="1"/>
  <c r="C37" i="1"/>
  <c r="C36" i="1"/>
  <c r="C35" i="1"/>
  <c r="C34" i="1"/>
  <c r="C33" i="1"/>
  <c r="C26" i="1"/>
  <c r="E20" i="4" s="1"/>
  <c r="K11" i="1"/>
  <c r="F19" i="1"/>
  <c r="E12" i="4" s="1"/>
  <c r="K12" i="1"/>
  <c r="K15" i="1"/>
  <c r="K14" i="1"/>
  <c r="K13" i="1"/>
  <c r="K10" i="1"/>
  <c r="K9" i="1"/>
  <c r="H18" i="1"/>
  <c r="H17" i="1"/>
  <c r="K16" i="1"/>
  <c r="H20" i="1" l="1"/>
  <c r="E10" i="4" s="1"/>
  <c r="E32" i="1"/>
  <c r="E59" i="1" s="1"/>
  <c r="I59" i="1"/>
  <c r="K59" i="1"/>
  <c r="E34" i="1"/>
  <c r="E61" i="1" s="1"/>
  <c r="I61" i="1"/>
  <c r="K61" i="1"/>
  <c r="E39" i="1"/>
  <c r="E66" i="1" s="1"/>
  <c r="I66" i="1"/>
  <c r="K66" i="1"/>
  <c r="E36" i="1"/>
  <c r="G63" i="1" s="1"/>
  <c r="K63" i="1"/>
  <c r="I63" i="1"/>
  <c r="D52" i="4"/>
  <c r="D69" i="4"/>
  <c r="E31" i="1"/>
  <c r="E58" i="1" s="1"/>
  <c r="I58" i="1"/>
  <c r="K58" i="1"/>
  <c r="E33" i="1"/>
  <c r="E60" i="1" s="1"/>
  <c r="I60" i="1"/>
  <c r="K60" i="1"/>
  <c r="E38" i="1"/>
  <c r="G65" i="1" s="1"/>
  <c r="K65" i="1"/>
  <c r="I65" i="1"/>
  <c r="E35" i="1"/>
  <c r="E62" i="1" s="1"/>
  <c r="I62" i="1"/>
  <c r="K62" i="1"/>
  <c r="I88" i="1"/>
  <c r="D33" i="4"/>
  <c r="F33" i="4" s="1"/>
  <c r="E37" i="1"/>
  <c r="E64" i="1" s="1"/>
  <c r="I64" i="1"/>
  <c r="K64" i="1"/>
  <c r="E30" i="1"/>
  <c r="I57" i="1"/>
  <c r="K57" i="1"/>
  <c r="G15" i="4"/>
  <c r="F58" i="1"/>
  <c r="H58" i="1" s="1"/>
  <c r="J58" i="1" s="1"/>
  <c r="L58" i="1" s="1"/>
  <c r="N58" i="1" s="1"/>
  <c r="P58" i="1" s="1"/>
  <c r="D59" i="1"/>
  <c r="AA57" i="1"/>
  <c r="AC57" i="1" s="1"/>
  <c r="U57" i="1"/>
  <c r="W57" i="1"/>
  <c r="U67" i="1"/>
  <c r="E63" i="1"/>
  <c r="I83" i="1"/>
  <c r="I90" i="1"/>
  <c r="I84" i="1"/>
  <c r="I82" i="1"/>
  <c r="I91" i="1"/>
  <c r="I86" i="1"/>
  <c r="I87" i="1"/>
  <c r="I85" i="1"/>
  <c r="D53" i="1"/>
  <c r="I89" i="1"/>
  <c r="E92" i="1"/>
  <c r="E93" i="1"/>
  <c r="E94" i="1" s="1"/>
  <c r="K19" i="1"/>
  <c r="M19" i="1"/>
  <c r="D14" i="4" s="1"/>
  <c r="F14" i="4" s="1"/>
  <c r="C40" i="1"/>
  <c r="K20" i="1"/>
  <c r="M20" i="1"/>
  <c r="D15" i="4" s="1"/>
  <c r="F15" i="4" s="1"/>
  <c r="G66" i="1" l="1"/>
  <c r="C66" i="1" s="1"/>
  <c r="K91" i="1" s="1"/>
  <c r="C91" i="1" s="1"/>
  <c r="G61" i="1"/>
  <c r="C61" i="1" s="1"/>
  <c r="K86" i="1" s="1"/>
  <c r="C86" i="1" s="1"/>
  <c r="G58" i="1"/>
  <c r="E40" i="1"/>
  <c r="E65" i="1"/>
  <c r="C65" i="1" s="1"/>
  <c r="K90" i="1" s="1"/>
  <c r="C90" i="1" s="1"/>
  <c r="C100" i="1"/>
  <c r="E49" i="4" s="1"/>
  <c r="E66" i="4" s="1"/>
  <c r="G64" i="1"/>
  <c r="C64" i="1" s="1"/>
  <c r="K89" i="1" s="1"/>
  <c r="C89" i="1" s="1"/>
  <c r="G60" i="1"/>
  <c r="C60" i="1" s="1"/>
  <c r="K85" i="1" s="1"/>
  <c r="C85" i="1" s="1"/>
  <c r="G62" i="1"/>
  <c r="C62" i="1" s="1"/>
  <c r="K87" i="1" s="1"/>
  <c r="C87" i="1" s="1"/>
  <c r="G59" i="1"/>
  <c r="C59" i="1" s="1"/>
  <c r="K84" i="1" s="1"/>
  <c r="C84" i="1" s="1"/>
  <c r="E57" i="1"/>
  <c r="C101" i="1"/>
  <c r="C102" i="1" s="1"/>
  <c r="D13" i="4"/>
  <c r="F13" i="4" s="1"/>
  <c r="C63" i="1"/>
  <c r="K88" i="1" s="1"/>
  <c r="C88" i="1" s="1"/>
  <c r="C58" i="1"/>
  <c r="K83" i="1" s="1"/>
  <c r="C83" i="1" s="1"/>
  <c r="D60" i="1"/>
  <c r="F59" i="1"/>
  <c r="H59" i="1" s="1"/>
  <c r="J59" i="1" s="1"/>
  <c r="L59" i="1" s="1"/>
  <c r="N59" i="1" s="1"/>
  <c r="P59" i="1" s="1"/>
  <c r="AA58" i="1"/>
  <c r="AC58" i="1" s="1"/>
  <c r="W58" i="1"/>
  <c r="U58" i="1"/>
  <c r="G57" i="1"/>
  <c r="I93" i="1"/>
  <c r="I92" i="1"/>
  <c r="E68" i="1" l="1"/>
  <c r="E102" i="1"/>
  <c r="D68" i="4" s="1"/>
  <c r="D51" i="4"/>
  <c r="E41" i="1"/>
  <c r="E21" i="4"/>
  <c r="E101" i="1"/>
  <c r="D67" i="4" s="1"/>
  <c r="D50" i="4"/>
  <c r="I94" i="1"/>
  <c r="C105" i="1"/>
  <c r="K67" i="1"/>
  <c r="D74" i="1" s="1"/>
  <c r="D39" i="4" s="1"/>
  <c r="K68" i="1"/>
  <c r="I67" i="1"/>
  <c r="D73" i="1" s="1"/>
  <c r="D38" i="4" s="1"/>
  <c r="I68" i="1"/>
  <c r="G67" i="1"/>
  <c r="D72" i="1" s="1"/>
  <c r="D37" i="4" s="1"/>
  <c r="G68" i="1"/>
  <c r="C57" i="1"/>
  <c r="C68" i="1" s="1"/>
  <c r="AA59" i="1"/>
  <c r="AC59" i="1" s="1"/>
  <c r="U59" i="1"/>
  <c r="W59" i="1"/>
  <c r="D61" i="1"/>
  <c r="F60" i="1"/>
  <c r="H60" i="1" s="1"/>
  <c r="J60" i="1" s="1"/>
  <c r="L60" i="1" s="1"/>
  <c r="N60" i="1" s="1"/>
  <c r="P60" i="1" s="1"/>
  <c r="E67" i="1"/>
  <c r="D71" i="1" s="1"/>
  <c r="D36" i="4" s="1"/>
  <c r="D54" i="4" l="1"/>
  <c r="E105" i="1"/>
  <c r="D71" i="4" s="1"/>
  <c r="D77" i="1"/>
  <c r="C67" i="1"/>
  <c r="U60" i="1"/>
  <c r="AA60" i="1"/>
  <c r="AC60" i="1" s="1"/>
  <c r="W60" i="1"/>
  <c r="D62" i="1"/>
  <c r="F61" i="1"/>
  <c r="H61" i="1" s="1"/>
  <c r="J61" i="1" s="1"/>
  <c r="L61" i="1" s="1"/>
  <c r="N61" i="1" s="1"/>
  <c r="P61" i="1" s="1"/>
  <c r="K82" i="1"/>
  <c r="C82" i="1" s="1"/>
  <c r="D78" i="1" l="1"/>
  <c r="D42" i="4"/>
  <c r="U61" i="1"/>
  <c r="AA61" i="1"/>
  <c r="AC61" i="1" s="1"/>
  <c r="W61" i="1"/>
  <c r="D63" i="1"/>
  <c r="F62" i="1"/>
  <c r="H62" i="1" s="1"/>
  <c r="J62" i="1" s="1"/>
  <c r="L62" i="1" s="1"/>
  <c r="N62" i="1" s="1"/>
  <c r="P62" i="1" s="1"/>
  <c r="C92" i="1"/>
  <c r="K92" i="1"/>
  <c r="K93" i="1"/>
  <c r="C106" i="1" l="1"/>
  <c r="C114" i="1" s="1"/>
  <c r="D80" i="4" s="1"/>
  <c r="C110" i="1"/>
  <c r="C111" i="1" s="1"/>
  <c r="D64" i="1"/>
  <c r="F63" i="1"/>
  <c r="H63" i="1" s="1"/>
  <c r="J63" i="1" s="1"/>
  <c r="L63" i="1" s="1"/>
  <c r="N63" i="1" s="1"/>
  <c r="P63" i="1" s="1"/>
  <c r="K94" i="1"/>
  <c r="C93" i="1"/>
  <c r="C94" i="1" s="1"/>
  <c r="U62" i="1"/>
  <c r="AA62" i="1"/>
  <c r="AC62" i="1" s="1"/>
  <c r="W62" i="1"/>
  <c r="C104" i="1"/>
  <c r="D59" i="4" l="1"/>
  <c r="C113" i="1"/>
  <c r="D79" i="4" s="1"/>
  <c r="C108" i="1"/>
  <c r="C109" i="1" s="1"/>
  <c r="C112" i="1" s="1"/>
  <c r="E104" i="1"/>
  <c r="D70" i="4" s="1"/>
  <c r="D53" i="4"/>
  <c r="E106" i="1"/>
  <c r="D72" i="4" s="1"/>
  <c r="D55" i="4"/>
  <c r="E110" i="1"/>
  <c r="D76" i="4" s="1"/>
  <c r="W63" i="1"/>
  <c r="U63" i="1"/>
  <c r="AA63" i="1"/>
  <c r="AC63" i="1" s="1"/>
  <c r="D65" i="1"/>
  <c r="F64" i="1"/>
  <c r="H64" i="1" s="1"/>
  <c r="J64" i="1" s="1"/>
  <c r="L64" i="1" s="1"/>
  <c r="N64" i="1" s="1"/>
  <c r="P64" i="1" s="1"/>
  <c r="E111" i="1" l="1"/>
  <c r="D77" i="4" s="1"/>
  <c r="D60" i="4"/>
  <c r="E108" i="1"/>
  <c r="D74" i="4" s="1"/>
  <c r="D57" i="4"/>
  <c r="W64" i="1"/>
  <c r="U64" i="1"/>
  <c r="AA64" i="1"/>
  <c r="AC64" i="1" s="1"/>
  <c r="D66" i="1"/>
  <c r="D68" i="1" s="1"/>
  <c r="F65" i="1"/>
  <c r="H65" i="1" s="1"/>
  <c r="J65" i="1" s="1"/>
  <c r="L65" i="1" s="1"/>
  <c r="N65" i="1" s="1"/>
  <c r="P65" i="1" s="1"/>
  <c r="D58" i="4" l="1"/>
  <c r="E61" i="4"/>
  <c r="E109" i="1"/>
  <c r="D75" i="4" s="1"/>
  <c r="F68" i="1"/>
  <c r="H68" i="1" s="1"/>
  <c r="J68" i="1" s="1"/>
  <c r="L68" i="1" s="1"/>
  <c r="N68" i="1" s="1"/>
  <c r="P68" i="1" s="1"/>
  <c r="D82" i="1"/>
  <c r="W65" i="1"/>
  <c r="U65" i="1"/>
  <c r="AA65" i="1"/>
  <c r="AC65" i="1" s="1"/>
  <c r="F66" i="1"/>
  <c r="H66" i="1" s="1"/>
  <c r="J66" i="1" s="1"/>
  <c r="L66" i="1" s="1"/>
  <c r="N66" i="1" s="1"/>
  <c r="P66" i="1" s="1"/>
  <c r="D67" i="1"/>
  <c r="F67" i="1" s="1"/>
  <c r="H67" i="1" l="1"/>
  <c r="J67" i="1" s="1"/>
  <c r="L67" i="1" s="1"/>
  <c r="N67" i="1" s="1"/>
  <c r="P67" i="1" s="1"/>
  <c r="E71" i="1"/>
  <c r="E36" i="4" s="1"/>
  <c r="AA66" i="1"/>
  <c r="W66" i="1"/>
  <c r="W67" i="1" s="1"/>
  <c r="U66" i="1"/>
  <c r="G36" i="4" l="1"/>
  <c r="F36" i="4"/>
  <c r="E72" i="1"/>
  <c r="AC66" i="1"/>
  <c r="AC67" i="1" s="1"/>
  <c r="AA67" i="1"/>
  <c r="E73" i="1" l="1"/>
  <c r="E37" i="4"/>
  <c r="F82" i="1"/>
  <c r="H82" i="1" s="1"/>
  <c r="J82" i="1" s="1"/>
  <c r="L82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D83" i="1"/>
  <c r="F37" i="4" l="1"/>
  <c r="G37" i="4"/>
  <c r="E74" i="1"/>
  <c r="E38" i="4"/>
  <c r="F83" i="1"/>
  <c r="H83" i="1" s="1"/>
  <c r="J83" i="1" s="1"/>
  <c r="L83" i="1" s="1"/>
  <c r="D84" i="1"/>
  <c r="G38" i="4" l="1"/>
  <c r="F38" i="4"/>
  <c r="E75" i="1"/>
  <c r="E39" i="4"/>
  <c r="D85" i="1"/>
  <c r="F84" i="1"/>
  <c r="H84" i="1" s="1"/>
  <c r="J84" i="1" s="1"/>
  <c r="L84" i="1" s="1"/>
  <c r="F39" i="4" l="1"/>
  <c r="G39" i="4"/>
  <c r="E76" i="1"/>
  <c r="E41" i="4" s="1"/>
  <c r="E40" i="4"/>
  <c r="E78" i="1"/>
  <c r="E77" i="1"/>
  <c r="E42" i="4" s="1"/>
  <c r="D86" i="1"/>
  <c r="F85" i="1"/>
  <c r="H85" i="1" s="1"/>
  <c r="J85" i="1" s="1"/>
  <c r="L85" i="1" s="1"/>
  <c r="G42" i="4" l="1"/>
  <c r="F42" i="4"/>
  <c r="F41" i="4"/>
  <c r="G41" i="4"/>
  <c r="F40" i="4"/>
  <c r="G40" i="4"/>
  <c r="D87" i="1"/>
  <c r="F86" i="1"/>
  <c r="H86" i="1" s="1"/>
  <c r="J86" i="1" s="1"/>
  <c r="L86" i="1" s="1"/>
  <c r="D88" i="1" l="1"/>
  <c r="F87" i="1"/>
  <c r="H87" i="1" s="1"/>
  <c r="J87" i="1" s="1"/>
  <c r="L87" i="1" s="1"/>
  <c r="D89" i="1" l="1"/>
  <c r="F88" i="1"/>
  <c r="H88" i="1" s="1"/>
  <c r="J88" i="1" s="1"/>
  <c r="L88" i="1" s="1"/>
  <c r="F89" i="1" l="1"/>
  <c r="H89" i="1" s="1"/>
  <c r="J89" i="1" s="1"/>
  <c r="L89" i="1" s="1"/>
  <c r="D90" i="1"/>
  <c r="F90" i="1" l="1"/>
  <c r="H90" i="1" s="1"/>
  <c r="J90" i="1" s="1"/>
  <c r="L90" i="1" s="1"/>
  <c r="D91" i="1"/>
  <c r="F91" i="1" l="1"/>
  <c r="H91" i="1" s="1"/>
  <c r="J91" i="1" s="1"/>
  <c r="L91" i="1" s="1"/>
  <c r="D92" i="1"/>
  <c r="F98" i="1" l="1"/>
  <c r="E64" i="4" s="1"/>
  <c r="F64" i="4" s="1"/>
  <c r="D113" i="1"/>
  <c r="D93" i="1"/>
  <c r="D98" i="1" s="1"/>
  <c r="E47" i="4" s="1"/>
  <c r="F92" i="1"/>
  <c r="H92" i="1" s="1"/>
  <c r="J92" i="1" s="1"/>
  <c r="L92" i="1" s="1"/>
  <c r="N92" i="1" s="1"/>
  <c r="G64" i="4" l="1"/>
  <c r="D114" i="1"/>
  <c r="E80" i="4" s="1"/>
  <c r="E79" i="4"/>
  <c r="F47" i="4"/>
  <c r="G47" i="4"/>
  <c r="D101" i="1"/>
  <c r="D94" i="1"/>
  <c r="F93" i="1"/>
  <c r="H93" i="1" s="1"/>
  <c r="J93" i="1" s="1"/>
  <c r="L93" i="1" s="1"/>
  <c r="N93" i="1" s="1"/>
  <c r="E44" i="4" s="1"/>
  <c r="F44" i="4" l="1"/>
  <c r="G44" i="4"/>
  <c r="G79" i="4"/>
  <c r="F79" i="4"/>
  <c r="G80" i="4"/>
  <c r="F80" i="4"/>
  <c r="D102" i="1"/>
  <c r="E50" i="4"/>
  <c r="F101" i="1"/>
  <c r="F94" i="1"/>
  <c r="H94" i="1" s="1"/>
  <c r="J94" i="1" s="1"/>
  <c r="L94" i="1" s="1"/>
  <c r="N94" i="1" s="1"/>
  <c r="F50" i="4" l="1"/>
  <c r="G50" i="4"/>
  <c r="F102" i="1"/>
  <c r="E67" i="4"/>
  <c r="D103" i="1"/>
  <c r="D107" i="1" s="1"/>
  <c r="E51" i="4"/>
  <c r="D104" i="1" l="1"/>
  <c r="E56" i="4"/>
  <c r="F67" i="4"/>
  <c r="G67" i="4"/>
  <c r="G51" i="4"/>
  <c r="F51" i="4"/>
  <c r="F103" i="1"/>
  <c r="E68" i="4"/>
  <c r="E52" i="4"/>
  <c r="F56" i="4" l="1"/>
  <c r="G56" i="4"/>
  <c r="F52" i="4"/>
  <c r="G52" i="4"/>
  <c r="F68" i="4"/>
  <c r="G68" i="4"/>
  <c r="F104" i="1"/>
  <c r="E69" i="4"/>
  <c r="D105" i="1"/>
  <c r="E53" i="4"/>
  <c r="D108" i="1"/>
  <c r="F53" i="4" l="1"/>
  <c r="G53" i="4"/>
  <c r="G69" i="4"/>
  <c r="F69" i="4"/>
  <c r="E70" i="4"/>
  <c r="F108" i="1"/>
  <c r="F105" i="1"/>
  <c r="D109" i="1"/>
  <c r="E57" i="4"/>
  <c r="D106" i="1"/>
  <c r="E55" i="4" s="1"/>
  <c r="E54" i="4"/>
  <c r="F70" i="4" l="1"/>
  <c r="G70" i="4"/>
  <c r="F54" i="4"/>
  <c r="G54" i="4"/>
  <c r="G55" i="4"/>
  <c r="F55" i="4"/>
  <c r="F57" i="4"/>
  <c r="G57" i="4"/>
  <c r="F109" i="1"/>
  <c r="E74" i="4"/>
  <c r="F106" i="1"/>
  <c r="E71" i="4"/>
  <c r="E58" i="4"/>
  <c r="D110" i="1"/>
  <c r="E59" i="4" s="1"/>
  <c r="D111" i="1"/>
  <c r="E60" i="4" s="1"/>
  <c r="E72" i="4" l="1"/>
  <c r="F107" i="1"/>
  <c r="E73" i="4" s="1"/>
  <c r="F59" i="4"/>
  <c r="G59" i="4"/>
  <c r="F72" i="4"/>
  <c r="G72" i="4"/>
  <c r="G60" i="4"/>
  <c r="F60" i="4"/>
  <c r="G74" i="4"/>
  <c r="F74" i="4"/>
  <c r="F58" i="4"/>
  <c r="G58" i="4"/>
  <c r="F71" i="4"/>
  <c r="G71" i="4"/>
  <c r="F110" i="1"/>
  <c r="E75" i="4"/>
  <c r="F73" i="4" l="1"/>
  <c r="G73" i="4"/>
  <c r="F75" i="4"/>
  <c r="G75" i="4"/>
  <c r="F111" i="1"/>
  <c r="E77" i="4" s="1"/>
  <c r="E76" i="4"/>
  <c r="F76" i="4" l="1"/>
  <c r="G76" i="4"/>
  <c r="F77" i="4"/>
  <c r="G77" i="4"/>
</calcChain>
</file>

<file path=xl/sharedStrings.xml><?xml version="1.0" encoding="utf-8"?>
<sst xmlns="http://schemas.openxmlformats.org/spreadsheetml/2006/main" count="228" uniqueCount="142">
  <si>
    <t xml:space="preserve">Energie </t>
  </si>
  <si>
    <t>Cout raccordement électrique</t>
  </si>
  <si>
    <t>€</t>
  </si>
  <si>
    <t>ha</t>
  </si>
  <si>
    <t>Total investissement</t>
  </si>
  <si>
    <t xml:space="preserve">Cout infrastructure </t>
  </si>
  <si>
    <t>création du forage à 30 m</t>
  </si>
  <si>
    <t>Cout Etude</t>
  </si>
  <si>
    <t>Main d'œuvre</t>
  </si>
  <si>
    <t>Canalisations</t>
  </si>
  <si>
    <t>m3/an</t>
  </si>
  <si>
    <t>Nbre de tours d'eau</t>
  </si>
  <si>
    <t>m3/ha</t>
  </si>
  <si>
    <t>mm</t>
  </si>
  <si>
    <t>Maintenance</t>
  </si>
  <si>
    <t>Total fonctionnement annuel</t>
  </si>
  <si>
    <t>Fonctionnement à l'ha</t>
  </si>
  <si>
    <t>Cout annuel  à l'ha</t>
  </si>
  <si>
    <t>m3</t>
  </si>
  <si>
    <t xml:space="preserve">Cout matériel aspersion </t>
  </si>
  <si>
    <t>années</t>
  </si>
  <si>
    <t>Cout pompe  + equi annexes</t>
  </si>
  <si>
    <t>CHF</t>
  </si>
  <si>
    <t>Année</t>
  </si>
  <si>
    <t>année "normale"</t>
  </si>
  <si>
    <t>Production</t>
  </si>
  <si>
    <t xml:space="preserve"> achat  de compensation</t>
  </si>
  <si>
    <t>Cout investissement divers</t>
  </si>
  <si>
    <t xml:space="preserve"> Redevance Eau</t>
  </si>
  <si>
    <t>Variable matériel</t>
  </si>
  <si>
    <t>Variable main d'œuvre</t>
  </si>
  <si>
    <t>Moyenne</t>
  </si>
  <si>
    <t>Total</t>
  </si>
  <si>
    <t>Divers</t>
  </si>
  <si>
    <t>Total fonctionnement</t>
  </si>
  <si>
    <t>Frais autre matériel (tracteur)</t>
  </si>
  <si>
    <t>Cout moyen annuel de l'irrigation pour maintenir la production les 10 premières années</t>
  </si>
  <si>
    <t>maïs</t>
  </si>
  <si>
    <t>%</t>
  </si>
  <si>
    <t xml:space="preserve"> Autres matériels</t>
  </si>
  <si>
    <t>Données initiales</t>
  </si>
  <si>
    <t>Détail</t>
  </si>
  <si>
    <t>achat pompe</t>
  </si>
  <si>
    <t>achat enrouleur</t>
  </si>
  <si>
    <t>Intitulé</t>
  </si>
  <si>
    <t>entre pompe et parcelle</t>
  </si>
  <si>
    <t>Amortissement sur 10 ans</t>
  </si>
  <si>
    <t>Redevance Agence de l'Eau</t>
  </si>
  <si>
    <t>Manipulation enrouleur</t>
  </si>
  <si>
    <t>Utilisation tracteur pour l'irrigation</t>
  </si>
  <si>
    <t>Pièce enrouleur,...</t>
  </si>
  <si>
    <t>Achat eau</t>
  </si>
  <si>
    <t>facture électricité</t>
  </si>
  <si>
    <t>Kwatt/m3</t>
  </si>
  <si>
    <t>cout eau</t>
  </si>
  <si>
    <t>h</t>
  </si>
  <si>
    <t>temps passé par tour d'eau</t>
  </si>
  <si>
    <t>paramètres frais de fonctionnement</t>
  </si>
  <si>
    <t>consommation energie pompe</t>
  </si>
  <si>
    <t xml:space="preserve">cout energie </t>
  </si>
  <si>
    <t>raccordement pompe au réseau</t>
  </si>
  <si>
    <t>cout fonctionnement irrigation par année</t>
  </si>
  <si>
    <t>Achat pour compenser la perte de production</t>
  </si>
  <si>
    <t>Unité monétaire</t>
  </si>
  <si>
    <t>Achat de compensation</t>
  </si>
  <si>
    <t>Colonne1</t>
  </si>
  <si>
    <t>à l'hectare</t>
  </si>
  <si>
    <t>volume d'eau nécessaire à l'hectare</t>
  </si>
  <si>
    <t>rendement sans irrigation</t>
  </si>
  <si>
    <t>Investissement initial</t>
  </si>
  <si>
    <t>Energie</t>
  </si>
  <si>
    <t>cout fonctionnement irrigation en moyenne sur 10 ans</t>
  </si>
  <si>
    <t>trs</t>
  </si>
  <si>
    <t>volume d'eau utilisé  annuellement</t>
  </si>
  <si>
    <t>Moyenne à l'hectare</t>
  </si>
  <si>
    <t>Perte moyenne annuelle sur 10 ans liées aux sécheresses</t>
  </si>
  <si>
    <t>autorisation administrative,...</t>
  </si>
  <si>
    <t>montant de la perte par rapport à une année sans sécheresse</t>
  </si>
  <si>
    <t>dont frais fonctionnement</t>
  </si>
  <si>
    <t>dont généré par l'irrigation</t>
  </si>
  <si>
    <t>Nombre d'années pour amortir l'investissement</t>
  </si>
  <si>
    <t>en rouge cellule avec liste déroulante pour chosir l'unité monétaire, cliquer sur la cellule</t>
  </si>
  <si>
    <t>Frais autre matériel</t>
  </si>
  <si>
    <t>% de rendement de la parcelle sur 10 ans avec les périodes de sécheresses</t>
  </si>
  <si>
    <t>Années à la pluviométrie normales (sans nécessité d'irrigation)</t>
  </si>
  <si>
    <t xml:space="preserve">Surface concernée </t>
  </si>
  <si>
    <t xml:space="preserve">ha </t>
  </si>
  <si>
    <t>Parcelle</t>
  </si>
  <si>
    <t>besoin en eau pour compenser la production</t>
  </si>
  <si>
    <t>Volume d'eau néssaire par an pour compenser  la perte de production</t>
  </si>
  <si>
    <t xml:space="preserve">Données </t>
  </si>
  <si>
    <t>Surface concernée</t>
  </si>
  <si>
    <t>Coût de Vente production moyen</t>
  </si>
  <si>
    <t xml:space="preserve"> % rendement hors irrigation</t>
  </si>
  <si>
    <t>Objectif de  rendement année normale</t>
  </si>
  <si>
    <t>Revenu de la parcelle année normale</t>
  </si>
  <si>
    <t>% de rendement en tenant compte des sécheresses</t>
  </si>
  <si>
    <t>Sur 10 ans hors irrigation</t>
  </si>
  <si>
    <t>Rendement moyen lié aux sécheresses</t>
  </si>
  <si>
    <t>Perte par rapport à une année sans sécheresse</t>
  </si>
  <si>
    <t>Mise en place de l'irrigation pour compenser la perte de production</t>
  </si>
  <si>
    <t>Frais de fonctionnement moyens sur 10 ans</t>
  </si>
  <si>
    <t>Nombre d'années à la pluviométrie normale sur 10 ans</t>
  </si>
  <si>
    <t>Investissement dans l'irrigation</t>
  </si>
  <si>
    <t>Système individuel</t>
  </si>
  <si>
    <t>Système d'irrigation individuel</t>
  </si>
  <si>
    <t>Dose par tour</t>
  </si>
  <si>
    <t>Cout du m3 les 10ères années</t>
  </si>
  <si>
    <t>Cout du  m3</t>
  </si>
  <si>
    <t>Consommation à l'hectare maximale</t>
  </si>
  <si>
    <t>Volume maximal pour la parcelle</t>
  </si>
  <si>
    <t>Volume d'eau moyen pour maintenir la production sur 10 ans</t>
  </si>
  <si>
    <t>besoin en eau</t>
  </si>
  <si>
    <t>Coût du m3 les 10ères années</t>
  </si>
  <si>
    <t>Cout du m 3 après les 10ères années (sur la base d'une consommation identique aux 10ères années)</t>
  </si>
  <si>
    <t>intrants supplémentaires liés à l'irrigation (semences, engrais,...)</t>
  </si>
  <si>
    <t>Frais intrants supplémentaires</t>
  </si>
  <si>
    <t>Frais liés aux intrants supplémentaires (semences, engrais,...)</t>
  </si>
  <si>
    <t>Cout du m3 après les 10ères années (sur la base d'une consommation identique au 10eres années)</t>
  </si>
  <si>
    <t>Frais intrants supplémentaires liés à l'irrigation</t>
  </si>
  <si>
    <t>semences, engrais</t>
  </si>
  <si>
    <t>Synthèse des résultats (moyennes)</t>
  </si>
  <si>
    <t>Synthèse de la mise en place de l'irrigation à l'hectare</t>
  </si>
  <si>
    <t xml:space="preserve">Synthèse de la mise en place de l'irrigation </t>
  </si>
  <si>
    <t>Vente annuelle sans irrigation</t>
  </si>
  <si>
    <t>Amortissement</t>
  </si>
  <si>
    <t>Frais Fonctionnement</t>
  </si>
  <si>
    <t>Vente hors période de sécheresse</t>
  </si>
  <si>
    <t>année</t>
  </si>
  <si>
    <t>Gain par année = (vente supplémentaire permise par l'irrigation)- achat de compensation - amortissement-frais fonctionnement- frais d'intrants suppélementaires</t>
  </si>
  <si>
    <t>Gain annuel</t>
  </si>
  <si>
    <t>Effet de la sécheresse sur les ventes</t>
  </si>
  <si>
    <t>dont amortissement</t>
  </si>
  <si>
    <t>Vente sur 10 ans avec périodes de sécheresse sans irrigation</t>
  </si>
  <si>
    <t>Gain  avec irrigation les 10eres années</t>
  </si>
  <si>
    <t>Gain de la parcelle après les 10eres années</t>
  </si>
  <si>
    <t>Vente supplémentaire permise par l'irrigation</t>
  </si>
  <si>
    <t xml:space="preserve">Vente moyenne avec les sécheresse </t>
  </si>
  <si>
    <t>Total des pertes sur 10 ans</t>
  </si>
  <si>
    <t>Prix de vente unitaire</t>
  </si>
  <si>
    <t>en gris partie à compléter</t>
  </si>
  <si>
    <t>Synthèse résultat étude mise en place irrigation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</si>
</sst>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\ &quot;€&quot;;[Red]\-#,##0\ &quot;€&quot;"/>
    <numFmt numFmtId="165" formatCode="_-* #,##0.00\ &quot;€&quot;_-;\-* #,##0.00\ &quot;€&quot;_-;_-* &quot;-&quot;??\ &quot;€&quot;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sz val="9"/>
      <color rgb="FF00B050"/>
      <name val="Calibri"/>
      <family val="2"/>
      <scheme val="minor"/>
    </font>
    <font>
      <sz val="10"/>
      <color rgb="FF0070C0"/>
      <name val="Calibri"/>
      <family val="2"/>
      <scheme val="minor"/>
    </font>
    <font>
      <i/>
      <sz val="8"/>
      <color rgb="FF0070C0"/>
      <name val="Calibri"/>
      <family val="2"/>
      <scheme val="minor"/>
    </font>
    <font>
      <i/>
      <sz val="10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8"/>
      <color rgb="FF00B050"/>
      <name val="Calibri"/>
      <family val="2"/>
      <scheme val="minor"/>
    </font>
    <font>
      <sz val="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rgb="FF0070C0"/>
      </top>
      <bottom/>
      <diagonal/>
    </border>
    <border>
      <left style="medium">
        <color indexed="64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 style="medium">
        <color rgb="FFFF0000"/>
      </left>
      <right style="medium">
        <color indexed="64"/>
      </right>
      <top style="medium">
        <color rgb="FFFF0000"/>
      </top>
      <bottom/>
      <diagonal/>
    </border>
    <border>
      <left style="medium">
        <color indexed="64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indexed="64"/>
      </right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 style="medium">
        <color indexed="64"/>
      </right>
      <top/>
      <bottom style="medium">
        <color rgb="FFFF0000"/>
      </bottom>
      <diagonal/>
    </border>
    <border>
      <left style="medium">
        <color indexed="64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theme="1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 style="thick">
        <color rgb="FF00B0F0"/>
      </bottom>
      <diagonal/>
    </border>
    <border>
      <left style="thick">
        <color rgb="FF00B0F0"/>
      </left>
      <right/>
      <top style="thick">
        <color rgb="FF00B0F0"/>
      </top>
      <bottom/>
      <diagonal/>
    </border>
    <border>
      <left/>
      <right/>
      <top style="thick">
        <color rgb="FF00B0F0"/>
      </top>
      <bottom/>
      <diagonal/>
    </border>
    <border>
      <left/>
      <right style="thick">
        <color rgb="FF00B0F0"/>
      </right>
      <top style="thick">
        <color rgb="FF00B0F0"/>
      </top>
      <bottom/>
      <diagonal/>
    </border>
    <border>
      <left style="thick">
        <color rgb="FF00B0F0"/>
      </left>
      <right style="medium">
        <color rgb="FF0070C0"/>
      </right>
      <top style="medium">
        <color rgb="FF0070C0"/>
      </top>
      <bottom/>
      <diagonal/>
    </border>
    <border>
      <left/>
      <right style="thick">
        <color rgb="FF00B0F0"/>
      </right>
      <top style="medium">
        <color rgb="FF0070C0"/>
      </top>
      <bottom/>
      <diagonal/>
    </border>
    <border>
      <left style="thick">
        <color rgb="FF00B0F0"/>
      </left>
      <right style="medium">
        <color rgb="FF0070C0"/>
      </right>
      <top/>
      <bottom/>
      <diagonal/>
    </border>
    <border>
      <left/>
      <right style="thick">
        <color rgb="FF00B0F0"/>
      </right>
      <top/>
      <bottom/>
      <diagonal/>
    </border>
    <border>
      <left style="thick">
        <color rgb="FF00B0F0"/>
      </left>
      <right style="medium">
        <color rgb="FF0070C0"/>
      </right>
      <top/>
      <bottom style="medium">
        <color rgb="FF0070C0"/>
      </bottom>
      <diagonal/>
    </border>
    <border>
      <left/>
      <right style="thick">
        <color rgb="FF00B0F0"/>
      </right>
      <top/>
      <bottom style="medium">
        <color rgb="FF0070C0"/>
      </bottom>
      <diagonal/>
    </border>
    <border>
      <left style="thick">
        <color rgb="FF00B0F0"/>
      </left>
      <right/>
      <top/>
      <bottom/>
      <diagonal/>
    </border>
    <border>
      <left style="thick">
        <color rgb="FF00B0F0"/>
      </left>
      <right/>
      <top style="medium">
        <color theme="1"/>
      </top>
      <bottom style="medium">
        <color indexed="64"/>
      </bottom>
      <diagonal/>
    </border>
    <border>
      <left/>
      <right style="thick">
        <color rgb="FF00B0F0"/>
      </right>
      <top style="medium">
        <color theme="1"/>
      </top>
      <bottom style="medium">
        <color indexed="64"/>
      </bottom>
      <diagonal/>
    </border>
    <border>
      <left style="thick">
        <color rgb="FF00B0F0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rgb="FF00B0F0"/>
      </right>
      <top style="medium">
        <color indexed="64"/>
      </top>
      <bottom/>
      <diagonal/>
    </border>
    <border>
      <left style="thick">
        <color rgb="FF00B0F0"/>
      </left>
      <right style="medium">
        <color indexed="64"/>
      </right>
      <top/>
      <bottom/>
      <diagonal/>
    </border>
    <border>
      <left/>
      <right style="thick">
        <color rgb="FF00B0F0"/>
      </right>
      <top style="thin">
        <color indexed="64"/>
      </top>
      <bottom/>
      <diagonal/>
    </border>
    <border>
      <left style="thick">
        <color rgb="FF00B0F0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rgb="FF00B0F0"/>
      </right>
      <top/>
      <bottom style="medium">
        <color indexed="64"/>
      </bottom>
      <diagonal/>
    </border>
    <border>
      <left style="thick">
        <color rgb="FF00B0F0"/>
      </left>
      <right style="medium">
        <color indexed="64"/>
      </right>
      <top/>
      <bottom style="medium">
        <color rgb="FF0070C0"/>
      </bottom>
      <diagonal/>
    </border>
    <border>
      <left style="thick">
        <color rgb="FF00B0F0"/>
      </left>
      <right/>
      <top style="medium">
        <color rgb="FF0070C0"/>
      </top>
      <bottom/>
      <diagonal/>
    </border>
    <border>
      <left style="thick">
        <color rgb="FF00B0F0"/>
      </left>
      <right/>
      <top/>
      <bottom style="thick">
        <color rgb="FF00B0F0"/>
      </bottom>
      <diagonal/>
    </border>
    <border>
      <left/>
      <right/>
      <top/>
      <bottom style="thick">
        <color rgb="FF00B0F0"/>
      </bottom>
      <diagonal/>
    </border>
    <border>
      <left/>
      <right style="thick">
        <color rgb="FF00B0F0"/>
      </right>
      <top/>
      <bottom style="thick">
        <color rgb="FF00B0F0"/>
      </bottom>
      <diagonal/>
    </border>
    <border>
      <left style="thick">
        <color rgb="FF00B0F0"/>
      </left>
      <right/>
      <top style="medium">
        <color indexed="64"/>
      </top>
      <bottom/>
      <diagonal/>
    </border>
    <border>
      <left style="thick">
        <color rgb="FF00B0F0"/>
      </left>
      <right/>
      <top style="medium">
        <color auto="1"/>
      </top>
      <bottom style="medium">
        <color indexed="64"/>
      </bottom>
      <diagonal/>
    </border>
    <border>
      <left/>
      <right style="thick">
        <color rgb="FF00B0F0"/>
      </right>
      <top style="medium">
        <color auto="1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9">
    <xf numFmtId="0" fontId="0" fillId="0" borderId="0" xfId="0"/>
    <xf numFmtId="165" fontId="0" fillId="0" borderId="0" xfId="1" applyFont="1"/>
    <xf numFmtId="43" fontId="0" fillId="0" borderId="0" xfId="2" applyFont="1"/>
    <xf numFmtId="43" fontId="5" fillId="0" borderId="0" xfId="2" applyFont="1"/>
    <xf numFmtId="43" fontId="0" fillId="0" borderId="0" xfId="2" applyFont="1" applyBorder="1" applyAlignment="1"/>
    <xf numFmtId="43" fontId="0" fillId="0" borderId="5" xfId="2" applyFont="1" applyBorder="1" applyAlignment="1">
      <alignment horizontal="center"/>
    </xf>
    <xf numFmtId="43" fontId="0" fillId="0" borderId="6" xfId="2" applyFont="1" applyBorder="1" applyAlignment="1"/>
    <xf numFmtId="43" fontId="0" fillId="0" borderId="0" xfId="2" applyFont="1" applyBorder="1" applyAlignment="1">
      <alignment horizontal="center"/>
    </xf>
    <xf numFmtId="43" fontId="0" fillId="0" borderId="8" xfId="2" applyFont="1" applyBorder="1" applyAlignment="1">
      <alignment horizontal="center"/>
    </xf>
    <xf numFmtId="43" fontId="0" fillId="0" borderId="10" xfId="2" applyFont="1" applyBorder="1" applyAlignment="1">
      <alignment horizontal="center"/>
    </xf>
    <xf numFmtId="43" fontId="2" fillId="0" borderId="15" xfId="2" applyFont="1" applyFill="1" applyBorder="1" applyAlignment="1">
      <alignment horizontal="center"/>
    </xf>
    <xf numFmtId="43" fontId="0" fillId="0" borderId="11" xfId="2" applyFont="1" applyBorder="1" applyAlignment="1">
      <alignment horizontal="center"/>
    </xf>
    <xf numFmtId="43" fontId="8" fillId="0" borderId="14" xfId="2" applyFont="1" applyBorder="1" applyAlignment="1">
      <alignment horizontal="center" vertical="center" wrapText="1"/>
    </xf>
    <xf numFmtId="43" fontId="0" fillId="0" borderId="16" xfId="2" applyFont="1" applyBorder="1" applyAlignment="1">
      <alignment horizontal="center"/>
    </xf>
    <xf numFmtId="43" fontId="0" fillId="0" borderId="8" xfId="2" applyFont="1" applyBorder="1" applyAlignment="1">
      <alignment horizontal="left"/>
    </xf>
    <xf numFmtId="43" fontId="0" fillId="0" borderId="7" xfId="2" applyFont="1" applyBorder="1" applyAlignment="1">
      <alignment horizontal="right"/>
    </xf>
    <xf numFmtId="43" fontId="0" fillId="0" borderId="8" xfId="2" applyFont="1" applyBorder="1"/>
    <xf numFmtId="43" fontId="0" fillId="0" borderId="7" xfId="2" applyFont="1" applyBorder="1" applyAlignment="1">
      <alignment horizontal="center"/>
    </xf>
    <xf numFmtId="43" fontId="0" fillId="0" borderId="7" xfId="2" applyFont="1" applyBorder="1"/>
    <xf numFmtId="43" fontId="0" fillId="0" borderId="14" xfId="2" applyFont="1" applyBorder="1" applyAlignment="1">
      <alignment horizontal="center"/>
    </xf>
    <xf numFmtId="43" fontId="0" fillId="0" borderId="14" xfId="2" applyFont="1" applyBorder="1"/>
    <xf numFmtId="43" fontId="0" fillId="0" borderId="1" xfId="2" applyFont="1" applyBorder="1" applyAlignment="1">
      <alignment horizontal="right"/>
    </xf>
    <xf numFmtId="43" fontId="0" fillId="0" borderId="3" xfId="2" applyFont="1" applyBorder="1" applyAlignment="1">
      <alignment horizontal="left"/>
    </xf>
    <xf numFmtId="43" fontId="0" fillId="0" borderId="3" xfId="2" applyFont="1" applyBorder="1"/>
    <xf numFmtId="43" fontId="0" fillId="0" borderId="1" xfId="2" applyFont="1" applyBorder="1" applyAlignment="1">
      <alignment horizontal="center"/>
    </xf>
    <xf numFmtId="43" fontId="0" fillId="0" borderId="12" xfId="2" applyFont="1" applyBorder="1" applyAlignment="1">
      <alignment horizontal="center"/>
    </xf>
    <xf numFmtId="43" fontId="0" fillId="0" borderId="12" xfId="2" applyFont="1" applyBorder="1"/>
    <xf numFmtId="43" fontId="0" fillId="0" borderId="9" xfId="2" applyFont="1" applyBorder="1" applyAlignment="1">
      <alignment horizontal="center"/>
    </xf>
    <xf numFmtId="43" fontId="0" fillId="0" borderId="9" xfId="2" applyFont="1" applyBorder="1" applyAlignment="1">
      <alignment horizontal="right"/>
    </xf>
    <xf numFmtId="43" fontId="0" fillId="0" borderId="11" xfId="2" applyFont="1" applyBorder="1" applyAlignment="1">
      <alignment horizontal="left"/>
    </xf>
    <xf numFmtId="43" fontId="0" fillId="0" borderId="9" xfId="2" applyFont="1" applyFill="1" applyBorder="1" applyAlignment="1">
      <alignment horizontal="center"/>
    </xf>
    <xf numFmtId="43" fontId="0" fillId="0" borderId="11" xfId="2" applyFont="1" applyBorder="1"/>
    <xf numFmtId="43" fontId="0" fillId="0" borderId="0" xfId="2" applyFont="1" applyAlignment="1">
      <alignment vertical="center" wrapText="1"/>
    </xf>
    <xf numFmtId="43" fontId="2" fillId="0" borderId="0" xfId="2" applyFont="1"/>
    <xf numFmtId="43" fontId="3" fillId="0" borderId="0" xfId="2" applyFont="1" applyBorder="1"/>
    <xf numFmtId="43" fontId="0" fillId="0" borderId="0" xfId="2" applyFont="1" applyBorder="1"/>
    <xf numFmtId="43" fontId="2" fillId="0" borderId="0" xfId="2" applyFont="1" applyBorder="1"/>
    <xf numFmtId="43" fontId="0" fillId="0" borderId="4" xfId="2" applyFont="1" applyBorder="1"/>
    <xf numFmtId="43" fontId="4" fillId="0" borderId="6" xfId="2" applyFont="1" applyBorder="1"/>
    <xf numFmtId="43" fontId="4" fillId="0" borderId="7" xfId="2" applyFont="1" applyBorder="1"/>
    <xf numFmtId="43" fontId="4" fillId="0" borderId="0" xfId="2" applyFont="1" applyBorder="1"/>
    <xf numFmtId="43" fontId="4" fillId="0" borderId="8" xfId="2" applyFont="1" applyBorder="1"/>
    <xf numFmtId="43" fontId="0" fillId="0" borderId="9" xfId="2" applyFont="1" applyBorder="1"/>
    <xf numFmtId="43" fontId="4" fillId="0" borderId="11" xfId="2" applyFont="1" applyBorder="1"/>
    <xf numFmtId="43" fontId="0" fillId="0" borderId="0" xfId="2" applyFont="1" applyFill="1" applyBorder="1" applyAlignment="1">
      <alignment horizontal="center"/>
    </xf>
    <xf numFmtId="43" fontId="0" fillId="0" borderId="14" xfId="2" applyFont="1" applyBorder="1" applyAlignment="1">
      <alignment horizontal="center" vertical="center"/>
    </xf>
    <xf numFmtId="43" fontId="0" fillId="0" borderId="13" xfId="2" applyFont="1" applyBorder="1" applyAlignment="1">
      <alignment horizontal="center"/>
    </xf>
    <xf numFmtId="43" fontId="0" fillId="0" borderId="6" xfId="2" applyFont="1" applyBorder="1"/>
    <xf numFmtId="43" fontId="4" fillId="0" borderId="6" xfId="2" applyFont="1" applyFill="1" applyBorder="1"/>
    <xf numFmtId="43" fontId="4" fillId="0" borderId="8" xfId="2" applyFont="1" applyFill="1" applyBorder="1"/>
    <xf numFmtId="43" fontId="0" fillId="0" borderId="13" xfId="2" applyFont="1" applyBorder="1"/>
    <xf numFmtId="43" fontId="4" fillId="0" borderId="11" xfId="2" applyFont="1" applyFill="1" applyBorder="1"/>
    <xf numFmtId="43" fontId="3" fillId="0" borderId="1" xfId="2" applyFont="1" applyBorder="1" applyAlignment="1">
      <alignment horizontal="center"/>
    </xf>
    <xf numFmtId="43" fontId="3" fillId="0" borderId="2" xfId="2" applyFont="1" applyBorder="1" applyAlignment="1">
      <alignment horizontal="center"/>
    </xf>
    <xf numFmtId="43" fontId="0" fillId="0" borderId="2" xfId="2" applyFont="1" applyBorder="1" applyAlignment="1">
      <alignment horizontal="center"/>
    </xf>
    <xf numFmtId="43" fontId="0" fillId="0" borderId="3" xfId="2" applyFont="1" applyBorder="1" applyAlignment="1">
      <alignment horizontal="center"/>
    </xf>
    <xf numFmtId="43" fontId="0" fillId="0" borderId="0" xfId="2" applyFont="1" applyFill="1" applyBorder="1"/>
    <xf numFmtId="43" fontId="4" fillId="0" borderId="4" xfId="2" applyFont="1" applyBorder="1"/>
    <xf numFmtId="43" fontId="4" fillId="0" borderId="5" xfId="2" applyFont="1" applyBorder="1"/>
    <xf numFmtId="43" fontId="3" fillId="0" borderId="7" xfId="2" applyFont="1" applyBorder="1"/>
    <xf numFmtId="43" fontId="6" fillId="0" borderId="0" xfId="2" applyFont="1" applyBorder="1"/>
    <xf numFmtId="43" fontId="0" fillId="0" borderId="1" xfId="2" applyFont="1" applyBorder="1"/>
    <xf numFmtId="43" fontId="0" fillId="0" borderId="2" xfId="2" applyFont="1" applyBorder="1"/>
    <xf numFmtId="43" fontId="4" fillId="0" borderId="2" xfId="2" applyFont="1" applyBorder="1"/>
    <xf numFmtId="43" fontId="0" fillId="0" borderId="9" xfId="2" applyFont="1" applyFill="1" applyBorder="1"/>
    <xf numFmtId="43" fontId="0" fillId="0" borderId="10" xfId="2" applyFont="1" applyFill="1" applyBorder="1"/>
    <xf numFmtId="43" fontId="4" fillId="0" borderId="10" xfId="2" applyFont="1" applyBorder="1"/>
    <xf numFmtId="43" fontId="0" fillId="0" borderId="11" xfId="2" applyFont="1" applyFill="1" applyBorder="1"/>
    <xf numFmtId="43" fontId="3" fillId="0" borderId="0" xfId="2" applyFont="1" applyFill="1" applyBorder="1"/>
    <xf numFmtId="43" fontId="0" fillId="0" borderId="4" xfId="2" applyFont="1" applyBorder="1" applyAlignment="1">
      <alignment horizontal="right"/>
    </xf>
    <xf numFmtId="43" fontId="0" fillId="0" borderId="4" xfId="2" applyFont="1" applyFill="1" applyBorder="1"/>
    <xf numFmtId="43" fontId="3" fillId="0" borderId="4" xfId="2" applyFont="1" applyBorder="1"/>
    <xf numFmtId="43" fontId="3" fillId="0" borderId="5" xfId="2" applyFont="1" applyBorder="1"/>
    <xf numFmtId="43" fontId="2" fillId="0" borderId="5" xfId="2" applyFont="1" applyBorder="1"/>
    <xf numFmtId="43" fontId="3" fillId="0" borderId="1" xfId="2" applyFont="1" applyBorder="1"/>
    <xf numFmtId="43" fontId="3" fillId="0" borderId="2" xfId="2" applyFont="1" applyBorder="1"/>
    <xf numFmtId="43" fontId="3" fillId="0" borderId="3" xfId="2" applyFont="1" applyBorder="1"/>
    <xf numFmtId="43" fontId="0" fillId="0" borderId="1" xfId="2" applyFont="1" applyFill="1" applyBorder="1"/>
    <xf numFmtId="43" fontId="0" fillId="0" borderId="2" xfId="2" applyFont="1" applyFill="1" applyBorder="1"/>
    <xf numFmtId="43" fontId="0" fillId="0" borderId="3" xfId="2" applyFont="1" applyFill="1" applyBorder="1"/>
    <xf numFmtId="43" fontId="0" fillId="0" borderId="13" xfId="2" applyFont="1" applyBorder="1" applyAlignment="1">
      <alignment horizontal="right"/>
    </xf>
    <xf numFmtId="43" fontId="0" fillId="0" borderId="6" xfId="2" applyFont="1" applyBorder="1" applyAlignment="1">
      <alignment horizontal="left"/>
    </xf>
    <xf numFmtId="43" fontId="0" fillId="0" borderId="16" xfId="2" applyFont="1" applyBorder="1" applyAlignment="1">
      <alignment horizontal="right"/>
    </xf>
    <xf numFmtId="43" fontId="0" fillId="0" borderId="12" xfId="2" applyFont="1" applyBorder="1" applyAlignment="1">
      <alignment horizontal="right"/>
    </xf>
    <xf numFmtId="43" fontId="10" fillId="0" borderId="16" xfId="2" applyFont="1" applyBorder="1"/>
    <xf numFmtId="43" fontId="11" fillId="0" borderId="16" xfId="2" applyFont="1" applyBorder="1" applyAlignment="1">
      <alignment horizontal="right"/>
    </xf>
    <xf numFmtId="43" fontId="12" fillId="0" borderId="7" xfId="2" applyFont="1" applyBorder="1"/>
    <xf numFmtId="43" fontId="12" fillId="0" borderId="8" xfId="2" applyFont="1" applyBorder="1"/>
    <xf numFmtId="43" fontId="2" fillId="0" borderId="0" xfId="2" applyFont="1" applyBorder="1" applyAlignment="1"/>
    <xf numFmtId="1" fontId="0" fillId="0" borderId="16" xfId="2" applyNumberFormat="1" applyFont="1" applyBorder="1" applyAlignment="1">
      <alignment horizontal="center"/>
    </xf>
    <xf numFmtId="0" fontId="0" fillId="0" borderId="12" xfId="2" applyNumberFormat="1" applyFont="1" applyBorder="1" applyAlignment="1">
      <alignment horizontal="center"/>
    </xf>
    <xf numFmtId="43" fontId="5" fillId="0" borderId="0" xfId="2" applyFont="1" applyFill="1" applyBorder="1"/>
    <xf numFmtId="2" fontId="4" fillId="0" borderId="0" xfId="2" applyNumberFormat="1" applyFont="1" applyBorder="1" applyAlignment="1">
      <alignment horizontal="center"/>
    </xf>
    <xf numFmtId="2" fontId="0" fillId="0" borderId="0" xfId="0" applyNumberFormat="1"/>
    <xf numFmtId="164" fontId="0" fillId="0" borderId="0" xfId="0" applyNumberFormat="1"/>
    <xf numFmtId="165" fontId="0" fillId="0" borderId="7" xfId="1" applyFont="1" applyBorder="1"/>
    <xf numFmtId="165" fontId="0" fillId="0" borderId="0" xfId="0" applyNumberFormat="1"/>
    <xf numFmtId="0" fontId="0" fillId="0" borderId="7" xfId="0" applyBorder="1"/>
    <xf numFmtId="43" fontId="0" fillId="0" borderId="0" xfId="0" applyNumberFormat="1"/>
    <xf numFmtId="43" fontId="0" fillId="0" borderId="8" xfId="0" applyNumberFormat="1" applyBorder="1"/>
    <xf numFmtId="0" fontId="0" fillId="0" borderId="8" xfId="0" applyBorder="1"/>
    <xf numFmtId="43" fontId="0" fillId="0" borderId="10" xfId="0" applyNumberFormat="1" applyBorder="1"/>
    <xf numFmtId="0" fontId="0" fillId="0" borderId="11" xfId="0" applyBorder="1"/>
    <xf numFmtId="165" fontId="0" fillId="0" borderId="0" xfId="1" applyFont="1" applyBorder="1" applyAlignment="1">
      <alignment horizontal="right"/>
    </xf>
    <xf numFmtId="165" fontId="0" fillId="0" borderId="0" xfId="1" applyFont="1" applyBorder="1" applyAlignment="1">
      <alignment horizontal="left"/>
    </xf>
    <xf numFmtId="43" fontId="0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43" fontId="0" fillId="0" borderId="10" xfId="0" applyNumberFormat="1" applyBorder="1" applyAlignment="1">
      <alignment horizontal="left"/>
    </xf>
    <xf numFmtId="165" fontId="0" fillId="0" borderId="0" xfId="1" applyFont="1" applyBorder="1" applyAlignment="1">
      <alignment horizontal="center" vertical="center"/>
    </xf>
    <xf numFmtId="0" fontId="0" fillId="0" borderId="17" xfId="0" applyBorder="1"/>
    <xf numFmtId="0" fontId="0" fillId="0" borderId="21" xfId="0" applyBorder="1"/>
    <xf numFmtId="165" fontId="0" fillId="0" borderId="22" xfId="1" applyFont="1" applyBorder="1"/>
    <xf numFmtId="0" fontId="0" fillId="0" borderId="22" xfId="0" applyBorder="1"/>
    <xf numFmtId="0" fontId="0" fillId="0" borderId="23" xfId="0" applyBorder="1"/>
    <xf numFmtId="165" fontId="0" fillId="0" borderId="25" xfId="0" applyNumberFormat="1" applyBorder="1"/>
    <xf numFmtId="43" fontId="0" fillId="0" borderId="25" xfId="0" applyNumberFormat="1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43" fontId="0" fillId="0" borderId="28" xfId="0" applyNumberFormat="1" applyBorder="1"/>
    <xf numFmtId="43" fontId="0" fillId="0" borderId="28" xfId="2" applyFont="1" applyBorder="1" applyAlignment="1">
      <alignment horizontal="left"/>
    </xf>
    <xf numFmtId="0" fontId="0" fillId="0" borderId="29" xfId="0" applyBorder="1"/>
    <xf numFmtId="43" fontId="0" fillId="0" borderId="17" xfId="0" applyNumberFormat="1" applyBorder="1"/>
    <xf numFmtId="43" fontId="0" fillId="0" borderId="31" xfId="2" applyFont="1" applyBorder="1"/>
    <xf numFmtId="43" fontId="0" fillId="0" borderId="32" xfId="2" applyFont="1" applyBorder="1"/>
    <xf numFmtId="43" fontId="0" fillId="0" borderId="34" xfId="2" applyFont="1" applyBorder="1"/>
    <xf numFmtId="43" fontId="0" fillId="0" borderId="35" xfId="2" applyFont="1" applyBorder="1"/>
    <xf numFmtId="43" fontId="14" fillId="0" borderId="30" xfId="2" applyFont="1" applyBorder="1"/>
    <xf numFmtId="43" fontId="14" fillId="0" borderId="33" xfId="2" applyFont="1" applyBorder="1"/>
    <xf numFmtId="0" fontId="5" fillId="0" borderId="0" xfId="0" applyFont="1"/>
    <xf numFmtId="43" fontId="5" fillId="0" borderId="0" xfId="0" applyNumberFormat="1" applyFont="1"/>
    <xf numFmtId="43" fontId="15" fillId="0" borderId="0" xfId="0" applyNumberFormat="1" applyFont="1"/>
    <xf numFmtId="0" fontId="15" fillId="0" borderId="0" xfId="0" applyFont="1"/>
    <xf numFmtId="0" fontId="15" fillId="0" borderId="17" xfId="0" applyFont="1" applyBorder="1"/>
    <xf numFmtId="43" fontId="15" fillId="0" borderId="17" xfId="0" applyNumberFormat="1" applyFont="1" applyBorder="1"/>
    <xf numFmtId="0" fontId="15" fillId="0" borderId="19" xfId="0" applyFont="1" applyBorder="1" applyAlignment="1">
      <alignment horizontal="left" vertical="center"/>
    </xf>
    <xf numFmtId="0" fontId="15" fillId="0" borderId="19" xfId="0" applyFont="1" applyBorder="1"/>
    <xf numFmtId="43" fontId="15" fillId="0" borderId="19" xfId="0" applyNumberFormat="1" applyFont="1" applyBorder="1"/>
    <xf numFmtId="43" fontId="16" fillId="0" borderId="5" xfId="0" applyNumberFormat="1" applyFont="1" applyBorder="1"/>
    <xf numFmtId="0" fontId="16" fillId="0" borderId="5" xfId="0" applyFont="1" applyBorder="1"/>
    <xf numFmtId="43" fontId="16" fillId="0" borderId="0" xfId="0" applyNumberFormat="1" applyFont="1"/>
    <xf numFmtId="43" fontId="17" fillId="0" borderId="0" xfId="0" applyNumberFormat="1" applyFont="1"/>
    <xf numFmtId="43" fontId="16" fillId="0" borderId="36" xfId="0" applyNumberFormat="1" applyFont="1" applyBorder="1"/>
    <xf numFmtId="43" fontId="16" fillId="0" borderId="31" xfId="0" applyNumberFormat="1" applyFont="1" applyBorder="1"/>
    <xf numFmtId="43" fontId="16" fillId="0" borderId="9" xfId="0" applyNumberFormat="1" applyFont="1" applyBorder="1"/>
    <xf numFmtId="43" fontId="16" fillId="0" borderId="10" xfId="0" applyNumberFormat="1" applyFont="1" applyBorder="1"/>
    <xf numFmtId="43" fontId="18" fillId="0" borderId="4" xfId="0" applyNumberFormat="1" applyFont="1" applyBorder="1"/>
    <xf numFmtId="0" fontId="18" fillId="0" borderId="5" xfId="0" applyFont="1" applyBorder="1"/>
    <xf numFmtId="43" fontId="18" fillId="0" borderId="5" xfId="0" applyNumberFormat="1" applyFont="1" applyBorder="1"/>
    <xf numFmtId="43" fontId="18" fillId="0" borderId="7" xfId="0" applyNumberFormat="1" applyFont="1" applyBorder="1"/>
    <xf numFmtId="0" fontId="18" fillId="0" borderId="0" xfId="0" applyFont="1"/>
    <xf numFmtId="43" fontId="18" fillId="0" borderId="0" xfId="0" applyNumberFormat="1" applyFont="1"/>
    <xf numFmtId="43" fontId="19" fillId="0" borderId="0" xfId="0" applyNumberFormat="1" applyFont="1"/>
    <xf numFmtId="43" fontId="20" fillId="0" borderId="0" xfId="0" applyNumberFormat="1" applyFont="1"/>
    <xf numFmtId="43" fontId="5" fillId="0" borderId="4" xfId="0" applyNumberFormat="1" applyFont="1" applyBorder="1"/>
    <xf numFmtId="0" fontId="5" fillId="0" borderId="5" xfId="0" applyFont="1" applyBorder="1"/>
    <xf numFmtId="43" fontId="5" fillId="0" borderId="5" xfId="0" applyNumberFormat="1" applyFont="1" applyBorder="1"/>
    <xf numFmtId="43" fontId="5" fillId="0" borderId="7" xfId="0" applyNumberFormat="1" applyFont="1" applyBorder="1"/>
    <xf numFmtId="0" fontId="5" fillId="0" borderId="7" xfId="0" applyFont="1" applyBorder="1"/>
    <xf numFmtId="43" fontId="19" fillId="0" borderId="0" xfId="0" applyNumberFormat="1" applyFont="1" applyAlignment="1">
      <alignment horizontal="left"/>
    </xf>
    <xf numFmtId="0" fontId="5" fillId="0" borderId="18" xfId="0" applyFont="1" applyBorder="1"/>
    <xf numFmtId="43" fontId="19" fillId="0" borderId="19" xfId="0" applyNumberFormat="1" applyFont="1" applyBorder="1" applyAlignment="1">
      <alignment horizontal="left"/>
    </xf>
    <xf numFmtId="43" fontId="19" fillId="0" borderId="19" xfId="0" applyNumberFormat="1" applyFont="1" applyBorder="1"/>
    <xf numFmtId="43" fontId="19" fillId="0" borderId="38" xfId="0" applyNumberFormat="1" applyFont="1" applyBorder="1" applyAlignment="1">
      <alignment horizontal="left"/>
    </xf>
    <xf numFmtId="43" fontId="19" fillId="0" borderId="39" xfId="0" applyNumberFormat="1" applyFont="1" applyBorder="1" applyAlignment="1">
      <alignment horizontal="left"/>
    </xf>
    <xf numFmtId="0" fontId="5" fillId="0" borderId="17" xfId="0" applyFont="1" applyBorder="1"/>
    <xf numFmtId="43" fontId="5" fillId="0" borderId="17" xfId="0" applyNumberFormat="1" applyFont="1" applyBorder="1"/>
    <xf numFmtId="2" fontId="5" fillId="0" borderId="17" xfId="0" applyNumberFormat="1" applyFont="1" applyBorder="1"/>
    <xf numFmtId="43" fontId="5" fillId="0" borderId="44" xfId="0" applyNumberFormat="1" applyFont="1" applyBorder="1"/>
    <xf numFmtId="43" fontId="5" fillId="0" borderId="46" xfId="0" applyNumberFormat="1" applyFont="1" applyBorder="1"/>
    <xf numFmtId="43" fontId="5" fillId="0" borderId="48" xfId="0" applyNumberFormat="1" applyFont="1" applyBorder="1"/>
    <xf numFmtId="0" fontId="5" fillId="0" borderId="49" xfId="0" applyFont="1" applyBorder="1"/>
    <xf numFmtId="0" fontId="16" fillId="0" borderId="53" xfId="0" applyFont="1" applyBorder="1"/>
    <xf numFmtId="0" fontId="16" fillId="0" borderId="46" xfId="0" applyFont="1" applyBorder="1"/>
    <xf numFmtId="0" fontId="16" fillId="0" borderId="55" xfId="0" applyFont="1" applyBorder="1"/>
    <xf numFmtId="0" fontId="16" fillId="0" borderId="57" xfId="0" applyFont="1" applyBorder="1"/>
    <xf numFmtId="0" fontId="0" fillId="0" borderId="49" xfId="0" applyBorder="1"/>
    <xf numFmtId="0" fontId="0" fillId="0" borderId="46" xfId="0" applyBorder="1"/>
    <xf numFmtId="43" fontId="18" fillId="0" borderId="53" xfId="0" applyNumberFormat="1" applyFont="1" applyBorder="1"/>
    <xf numFmtId="0" fontId="18" fillId="0" borderId="46" xfId="0" applyFont="1" applyBorder="1"/>
    <xf numFmtId="43" fontId="18" fillId="0" borderId="46" xfId="0" applyNumberFormat="1" applyFont="1" applyBorder="1"/>
    <xf numFmtId="0" fontId="19" fillId="0" borderId="46" xfId="0" applyFont="1" applyBorder="1"/>
    <xf numFmtId="0" fontId="20" fillId="0" borderId="46" xfId="0" applyFont="1" applyBorder="1"/>
    <xf numFmtId="43" fontId="5" fillId="0" borderId="53" xfId="0" applyNumberFormat="1" applyFont="1" applyBorder="1"/>
    <xf numFmtId="0" fontId="5" fillId="0" borderId="46" xfId="0" applyFont="1" applyBorder="1"/>
    <xf numFmtId="0" fontId="19" fillId="0" borderId="48" xfId="0" applyFont="1" applyBorder="1"/>
    <xf numFmtId="0" fontId="0" fillId="0" borderId="59" xfId="0" applyBorder="1"/>
    <xf numFmtId="0" fontId="0" fillId="0" borderId="44" xfId="0" applyBorder="1"/>
    <xf numFmtId="0" fontId="5" fillId="0" borderId="44" xfId="0" applyFont="1" applyBorder="1"/>
    <xf numFmtId="0" fontId="5" fillId="0" borderId="61" xfId="0" applyFont="1" applyBorder="1"/>
    <xf numFmtId="43" fontId="5" fillId="0" borderId="61" xfId="0" applyNumberFormat="1" applyFont="1" applyBorder="1"/>
    <xf numFmtId="2" fontId="5" fillId="0" borderId="61" xfId="0" applyNumberFormat="1" applyFont="1" applyBorder="1"/>
    <xf numFmtId="0" fontId="5" fillId="0" borderId="62" xfId="0" applyFont="1" applyBorder="1"/>
    <xf numFmtId="43" fontId="21" fillId="0" borderId="9" xfId="0" applyNumberFormat="1" applyFont="1" applyBorder="1"/>
    <xf numFmtId="0" fontId="21" fillId="0" borderId="10" xfId="0" applyFont="1" applyBorder="1"/>
    <xf numFmtId="43" fontId="21" fillId="0" borderId="10" xfId="0" applyNumberFormat="1" applyFont="1" applyBorder="1"/>
    <xf numFmtId="43" fontId="21" fillId="0" borderId="57" xfId="0" applyNumberFormat="1" applyFont="1" applyBorder="1"/>
    <xf numFmtId="43" fontId="0" fillId="0" borderId="7" xfId="2" applyFont="1" applyFill="1" applyBorder="1" applyAlignment="1">
      <alignment horizontal="center"/>
    </xf>
    <xf numFmtId="0" fontId="16" fillId="0" borderId="63" xfId="0" applyFont="1" applyBorder="1" applyAlignment="1">
      <alignment horizontal="center" vertical="center" textRotation="90" wrapText="1"/>
    </xf>
    <xf numFmtId="0" fontId="22" fillId="0" borderId="64" xfId="0" applyFont="1" applyBorder="1" applyAlignment="1">
      <alignment horizontal="center" vertical="center" textRotation="90" wrapText="1"/>
    </xf>
    <xf numFmtId="43" fontId="16" fillId="0" borderId="2" xfId="0" applyNumberFormat="1" applyFont="1" applyBorder="1" applyAlignment="1">
      <alignment wrapText="1"/>
    </xf>
    <xf numFmtId="43" fontId="17" fillId="0" borderId="2" xfId="0" applyNumberFormat="1" applyFont="1" applyBorder="1" applyAlignment="1">
      <alignment horizontal="center" vertical="center" wrapText="1"/>
    </xf>
    <xf numFmtId="43" fontId="16" fillId="0" borderId="2" xfId="0" applyNumberFormat="1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43" fontId="13" fillId="2" borderId="5" xfId="2" applyFont="1" applyFill="1" applyBorder="1" applyAlignment="1">
      <alignment horizontal="center"/>
    </xf>
    <xf numFmtId="2" fontId="13" fillId="2" borderId="0" xfId="2" applyNumberFormat="1" applyFont="1" applyFill="1" applyBorder="1" applyAlignment="1">
      <alignment horizontal="center"/>
    </xf>
    <xf numFmtId="43" fontId="13" fillId="2" borderId="7" xfId="2" applyFont="1" applyFill="1" applyBorder="1" applyAlignment="1">
      <alignment horizontal="right"/>
    </xf>
    <xf numFmtId="43" fontId="5" fillId="2" borderId="13" xfId="2" applyFont="1" applyFill="1" applyBorder="1"/>
    <xf numFmtId="43" fontId="5" fillId="2" borderId="16" xfId="2" applyFont="1" applyFill="1" applyBorder="1"/>
    <xf numFmtId="43" fontId="5" fillId="2" borderId="12" xfId="2" applyFont="1" applyFill="1" applyBorder="1"/>
    <xf numFmtId="43" fontId="5" fillId="2" borderId="0" xfId="2" applyFont="1" applyFill="1" applyBorder="1"/>
    <xf numFmtId="43" fontId="5" fillId="2" borderId="0" xfId="2" applyFont="1" applyFill="1"/>
    <xf numFmtId="43" fontId="0" fillId="2" borderId="0" xfId="2" applyFont="1" applyFill="1"/>
    <xf numFmtId="43" fontId="8" fillId="0" borderId="1" xfId="2" applyFont="1" applyBorder="1" applyAlignment="1">
      <alignment horizontal="center" vertical="center" wrapText="1"/>
    </xf>
    <xf numFmtId="43" fontId="8" fillId="0" borderId="3" xfId="2" applyFont="1" applyBorder="1" applyAlignment="1">
      <alignment horizontal="center" vertical="center" wrapText="1"/>
    </xf>
    <xf numFmtId="43" fontId="9" fillId="0" borderId="1" xfId="2" applyFont="1" applyBorder="1" applyAlignment="1">
      <alignment horizontal="center" vertical="center" wrapText="1"/>
    </xf>
    <xf numFmtId="43" fontId="0" fillId="0" borderId="1" xfId="2" applyFont="1" applyBorder="1" applyAlignment="1">
      <alignment horizontal="center"/>
    </xf>
    <xf numFmtId="43" fontId="0" fillId="0" borderId="3" xfId="2" applyFont="1" applyBorder="1" applyAlignment="1">
      <alignment horizontal="center"/>
    </xf>
    <xf numFmtId="43" fontId="0" fillId="0" borderId="13" xfId="2" applyFont="1" applyBorder="1" applyAlignment="1">
      <alignment horizontal="center" vertical="center" wrapText="1"/>
    </xf>
    <xf numFmtId="43" fontId="0" fillId="0" borderId="16" xfId="2" applyFont="1" applyBorder="1" applyAlignment="1">
      <alignment horizontal="center" vertical="center" wrapText="1"/>
    </xf>
    <xf numFmtId="43" fontId="0" fillId="0" borderId="12" xfId="2" applyFont="1" applyBorder="1" applyAlignment="1">
      <alignment horizontal="center" vertical="center" wrapText="1"/>
    </xf>
    <xf numFmtId="43" fontId="0" fillId="0" borderId="1" xfId="2" applyFont="1" applyFill="1" applyBorder="1" applyAlignment="1">
      <alignment horizontal="center"/>
    </xf>
    <xf numFmtId="43" fontId="0" fillId="0" borderId="3" xfId="2" applyFont="1" applyFill="1" applyBorder="1" applyAlignment="1">
      <alignment horizontal="center"/>
    </xf>
    <xf numFmtId="43" fontId="0" fillId="0" borderId="13" xfId="2" applyFont="1" applyBorder="1" applyAlignment="1">
      <alignment horizontal="center" vertical="center"/>
    </xf>
    <xf numFmtId="43" fontId="0" fillId="0" borderId="16" xfId="2" applyFont="1" applyBorder="1" applyAlignment="1">
      <alignment horizontal="center" vertical="center"/>
    </xf>
    <xf numFmtId="43" fontId="0" fillId="0" borderId="12" xfId="2" applyFont="1" applyBorder="1" applyAlignment="1">
      <alignment horizontal="center" vertical="center"/>
    </xf>
    <xf numFmtId="43" fontId="23" fillId="0" borderId="1" xfId="2" applyFont="1" applyBorder="1" applyAlignment="1">
      <alignment horizontal="center"/>
    </xf>
    <xf numFmtId="43" fontId="23" fillId="0" borderId="3" xfId="2" applyFont="1" applyBorder="1" applyAlignment="1">
      <alignment horizontal="center"/>
    </xf>
    <xf numFmtId="43" fontId="8" fillId="0" borderId="1" xfId="2" applyFont="1" applyFill="1" applyBorder="1" applyAlignment="1">
      <alignment horizontal="center" vertical="center" wrapText="1"/>
    </xf>
    <xf numFmtId="43" fontId="8" fillId="0" borderId="3" xfId="2" applyFont="1" applyFill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textRotation="90" wrapText="1"/>
    </xf>
    <xf numFmtId="0" fontId="15" fillId="0" borderId="45" xfId="0" applyFont="1" applyBorder="1" applyAlignment="1">
      <alignment horizontal="center" vertical="center" textRotation="90" wrapText="1"/>
    </xf>
    <xf numFmtId="0" fontId="15" fillId="0" borderId="47" xfId="0" applyFont="1" applyBorder="1" applyAlignment="1">
      <alignment horizontal="center" vertical="center" textRotation="90" wrapText="1"/>
    </xf>
    <xf numFmtId="43" fontId="0" fillId="0" borderId="4" xfId="2" applyFont="1" applyBorder="1" applyAlignment="1">
      <alignment horizontal="left"/>
    </xf>
    <xf numFmtId="43" fontId="0" fillId="0" borderId="5" xfId="2" applyFont="1" applyBorder="1" applyAlignment="1">
      <alignment horizontal="left"/>
    </xf>
    <xf numFmtId="43" fontId="0" fillId="0" borderId="7" xfId="2" applyFont="1" applyBorder="1" applyAlignment="1">
      <alignment horizontal="left"/>
    </xf>
    <xf numFmtId="43" fontId="0" fillId="0" borderId="0" xfId="2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5" fillId="0" borderId="59" xfId="0" applyFont="1" applyBorder="1" applyAlignment="1">
      <alignment horizontal="center" vertical="center" textRotation="90" wrapText="1"/>
    </xf>
    <xf numFmtId="0" fontId="5" fillId="0" borderId="60" xfId="0" applyFont="1" applyBorder="1" applyAlignment="1">
      <alignment horizontal="center" vertical="center" textRotation="90" wrapText="1"/>
    </xf>
    <xf numFmtId="0" fontId="5" fillId="0" borderId="40" xfId="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3" fillId="0" borderId="0" xfId="0" applyFont="1" applyAlignment="1">
      <alignment horizontal="center"/>
    </xf>
    <xf numFmtId="0" fontId="16" fillId="0" borderId="50" xfId="0" applyFont="1" applyBorder="1" applyAlignment="1">
      <alignment horizontal="center"/>
    </xf>
    <xf numFmtId="0" fontId="16" fillId="0" borderId="37" xfId="0" applyFont="1" applyBorder="1" applyAlignment="1">
      <alignment horizontal="center"/>
    </xf>
    <xf numFmtId="0" fontId="16" fillId="0" borderId="51" xfId="0" applyFont="1" applyBorder="1" applyAlignment="1">
      <alignment horizontal="center"/>
    </xf>
    <xf numFmtId="0" fontId="5" fillId="0" borderId="52" xfId="0" applyFont="1" applyBorder="1" applyAlignment="1">
      <alignment horizontal="center" vertical="center" textRotation="90" wrapText="1"/>
    </xf>
    <xf numFmtId="0" fontId="5" fillId="0" borderId="54" xfId="0" applyFont="1" applyBorder="1" applyAlignment="1">
      <alignment horizontal="center" vertical="center" textRotation="90" wrapText="1"/>
    </xf>
    <xf numFmtId="0" fontId="5" fillId="0" borderId="58" xfId="0" applyFont="1" applyBorder="1" applyAlignment="1">
      <alignment horizontal="center" vertical="center" textRotation="90" wrapText="1"/>
    </xf>
    <xf numFmtId="0" fontId="0" fillId="0" borderId="20" xfId="0" applyBorder="1" applyAlignment="1">
      <alignment horizontal="center" vertical="center" textRotation="90" wrapText="1"/>
    </xf>
    <xf numFmtId="0" fontId="0" fillId="0" borderId="24" xfId="0" applyBorder="1" applyAlignment="1">
      <alignment horizontal="center" vertical="center" textRotation="90" wrapText="1"/>
    </xf>
    <xf numFmtId="0" fontId="0" fillId="0" borderId="26" xfId="0" applyBorder="1" applyAlignment="1">
      <alignment horizontal="center" vertical="center" textRotation="90" wrapText="1"/>
    </xf>
    <xf numFmtId="43" fontId="4" fillId="0" borderId="5" xfId="2" applyFont="1" applyBorder="1" applyAlignment="1">
      <alignment horizontal="center"/>
    </xf>
    <xf numFmtId="43" fontId="4" fillId="0" borderId="6" xfId="2" applyFont="1" applyBorder="1" applyAlignment="1">
      <alignment horizontal="center"/>
    </xf>
    <xf numFmtId="0" fontId="0" fillId="0" borderId="13" xfId="0" applyBorder="1" applyAlignment="1">
      <alignment horizontal="center" vertical="center" textRotation="90"/>
    </xf>
    <xf numFmtId="0" fontId="0" fillId="0" borderId="16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16" fillId="0" borderId="52" xfId="0" applyFont="1" applyBorder="1" applyAlignment="1">
      <alignment horizontal="center" vertical="center" textRotation="90" wrapText="1"/>
    </xf>
    <xf numFmtId="0" fontId="16" fillId="0" borderId="54" xfId="0" applyFont="1" applyBorder="1" applyAlignment="1">
      <alignment horizontal="center" vertical="center" textRotation="90" wrapText="1"/>
    </xf>
    <xf numFmtId="0" fontId="16" fillId="0" borderId="56" xfId="0" applyFont="1" applyBorder="1" applyAlignment="1">
      <alignment horizontal="center" vertical="center" textRotation="90" wrapText="1"/>
    </xf>
    <xf numFmtId="0" fontId="5" fillId="0" borderId="56" xfId="0" applyFont="1" applyBorder="1" applyAlignment="1">
      <alignment horizontal="center" vertical="center" textRotation="90" wrapText="1"/>
    </xf>
    <xf numFmtId="4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3" fontId="15" fillId="0" borderId="17" xfId="0" applyNumberFormat="1" applyFont="1" applyBorder="1" applyAlignment="1">
      <alignment horizontal="left" vertical="center"/>
    </xf>
    <xf numFmtId="43" fontId="15" fillId="0" borderId="0" xfId="0" applyNumberFormat="1" applyFont="1" applyAlignment="1">
      <alignment horizontal="left" vertical="center"/>
    </xf>
  </cellXfs>
  <cellStyles count="3">
    <cellStyle name="Milliers" xfId="2" builtinId="3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3EC5F9D-D32A-4BBD-9D1A-27DF6F1A9F44}" name="Tableau5" displayName="Tableau5" ref="R4:R6" totalsRowShown="0" headerRowCellStyle="Milliers" dataCellStyle="Milliers">
  <autoFilter ref="R4:R6" xr:uid="{A3EC5F9D-D32A-4BBD-9D1A-27DF6F1A9F44}"/>
  <tableColumns count="1">
    <tableColumn id="1" xr3:uid="{1092D112-9376-41C5-B015-405945F967E1}" name="Colonne1" dataCellStyle="Millier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14"/>
  <sheetViews>
    <sheetView tabSelected="1" zoomScale="115" zoomScaleNormal="115" workbookViewId="0">
      <selection activeCell="C1" sqref="C1"/>
    </sheetView>
  </sheetViews>
  <sheetFormatPr baseColWidth="10" defaultColWidth="8.85546875" defaultRowHeight="15" x14ac:dyDescent="0.25"/>
  <cols>
    <col min="1" max="1" width="28.140625" style="2" customWidth="1"/>
    <col min="2" max="2" width="63.28515625" style="2" customWidth="1"/>
    <col min="3" max="3" width="25.42578125" style="2" customWidth="1"/>
    <col min="4" max="4" width="19.140625" style="2" customWidth="1"/>
    <col min="5" max="5" width="11.7109375" style="2" customWidth="1"/>
    <col min="6" max="6" width="13" style="2" customWidth="1"/>
    <col min="7" max="7" width="12.85546875" style="2" customWidth="1"/>
    <col min="8" max="8" width="16.28515625" style="2" customWidth="1"/>
    <col min="9" max="9" width="14.85546875" style="2" customWidth="1"/>
    <col min="10" max="10" width="12.85546875" style="2" customWidth="1"/>
    <col min="11" max="11" width="16.28515625" style="2" customWidth="1"/>
    <col min="12" max="12" width="10.7109375" style="2" customWidth="1"/>
    <col min="13" max="13" width="12.7109375" style="2" customWidth="1"/>
    <col min="14" max="14" width="9.140625" style="2" customWidth="1"/>
    <col min="15" max="16" width="13.28515625" style="2" customWidth="1"/>
    <col min="17" max="17" width="15.42578125" style="2" customWidth="1"/>
    <col min="18" max="18" width="17.28515625" style="2" customWidth="1"/>
    <col min="19" max="19" width="26.28515625" style="2" customWidth="1"/>
    <col min="20" max="20" width="8.85546875" style="2"/>
    <col min="21" max="21" width="10.5703125" style="2" customWidth="1"/>
    <col min="22" max="23" width="8.85546875" style="2"/>
    <col min="24" max="24" width="13.85546875" style="2" customWidth="1"/>
    <col min="25" max="25" width="13.5703125" style="2" customWidth="1"/>
    <col min="26" max="16384" width="8.85546875" style="2"/>
  </cols>
  <sheetData>
    <row r="1" spans="1:18" x14ac:dyDescent="0.25">
      <c r="C1" s="3" t="s">
        <v>140</v>
      </c>
    </row>
    <row r="2" spans="1:18" ht="15.75" thickBot="1" x14ac:dyDescent="0.3">
      <c r="A2" s="2" t="s">
        <v>104</v>
      </c>
      <c r="B2" s="4"/>
      <c r="C2" s="88" t="s">
        <v>81</v>
      </c>
      <c r="D2" s="4"/>
      <c r="E2" s="4"/>
      <c r="F2" s="4"/>
      <c r="G2" s="4"/>
      <c r="H2" s="4"/>
      <c r="I2" s="4"/>
    </row>
    <row r="3" spans="1:18" x14ac:dyDescent="0.25">
      <c r="A3" s="223" t="s">
        <v>40</v>
      </c>
      <c r="B3" s="5" t="s">
        <v>25</v>
      </c>
      <c r="C3" s="204"/>
      <c r="D3" s="6"/>
      <c r="E3" s="4"/>
      <c r="F3" s="4"/>
      <c r="G3" s="4"/>
      <c r="H3" s="4"/>
      <c r="I3" s="4"/>
    </row>
    <row r="4" spans="1:18" x14ac:dyDescent="0.25">
      <c r="A4" s="224"/>
      <c r="B4" s="7" t="s">
        <v>91</v>
      </c>
      <c r="C4" s="205"/>
      <c r="D4" s="8" t="s">
        <v>3</v>
      </c>
      <c r="F4" s="7"/>
      <c r="G4" s="7"/>
      <c r="H4" s="7"/>
      <c r="I4" s="7"/>
      <c r="R4" s="2" t="s">
        <v>65</v>
      </c>
    </row>
    <row r="5" spans="1:18" x14ac:dyDescent="0.25">
      <c r="A5" s="224"/>
      <c r="B5" s="7" t="s">
        <v>94</v>
      </c>
      <c r="C5" s="205"/>
      <c r="D5" s="8" t="str">
        <f>IF($C$6="CHF","dt","qtal")&amp;"/ha"</f>
        <v>qtal/ha</v>
      </c>
      <c r="F5" s="7"/>
      <c r="G5" s="7"/>
      <c r="H5" s="7"/>
      <c r="I5" s="7"/>
      <c r="R5" s="2" t="s">
        <v>22</v>
      </c>
    </row>
    <row r="6" spans="1:18" ht="15.75" thickBot="1" x14ac:dyDescent="0.3">
      <c r="A6" s="225"/>
      <c r="B6" s="9" t="s">
        <v>63</v>
      </c>
      <c r="C6" s="10" t="s">
        <v>2</v>
      </c>
      <c r="D6" s="11"/>
      <c r="F6" s="7"/>
      <c r="G6" s="7"/>
      <c r="H6" s="7"/>
      <c r="I6" s="7"/>
      <c r="R6" s="2" t="s">
        <v>2</v>
      </c>
    </row>
    <row r="7" spans="1:18" ht="4.1500000000000004" customHeight="1" thickBot="1" x14ac:dyDescent="0.3">
      <c r="B7" s="7"/>
      <c r="C7" s="7"/>
      <c r="D7" s="7"/>
      <c r="E7" s="7"/>
      <c r="F7" s="7"/>
      <c r="G7" s="7"/>
      <c r="H7" s="7"/>
      <c r="I7" s="7"/>
    </row>
    <row r="8" spans="1:18" ht="45" customHeight="1" thickBot="1" x14ac:dyDescent="0.3">
      <c r="A8" s="218" t="s">
        <v>131</v>
      </c>
      <c r="B8" s="12" t="s">
        <v>23</v>
      </c>
      <c r="C8" s="12" t="s">
        <v>25</v>
      </c>
      <c r="D8" s="213" t="s">
        <v>93</v>
      </c>
      <c r="E8" s="214"/>
      <c r="F8" s="213" t="s">
        <v>68</v>
      </c>
      <c r="G8" s="214"/>
      <c r="H8" s="12" t="s">
        <v>24</v>
      </c>
      <c r="I8" s="213" t="s">
        <v>139</v>
      </c>
      <c r="J8" s="214"/>
      <c r="K8" s="228" t="s">
        <v>124</v>
      </c>
      <c r="L8" s="229"/>
      <c r="M8" s="228" t="s">
        <v>77</v>
      </c>
      <c r="N8" s="229"/>
      <c r="O8" s="213" t="s">
        <v>26</v>
      </c>
      <c r="P8" s="214"/>
      <c r="Q8" s="213" t="s">
        <v>115</v>
      </c>
      <c r="R8" s="214"/>
    </row>
    <row r="9" spans="1:18" x14ac:dyDescent="0.25">
      <c r="A9" s="219"/>
      <c r="B9" s="89">
        <v>1</v>
      </c>
      <c r="C9" s="13" t="s">
        <v>37</v>
      </c>
      <c r="D9" s="206"/>
      <c r="E9" s="14" t="s">
        <v>38</v>
      </c>
      <c r="F9" s="15">
        <f t="shared" ref="F9:F18" si="0">$C$5*D9/100</f>
        <v>0</v>
      </c>
      <c r="G9" s="14" t="str">
        <f>IF($C$6="CHF","dt","qtal")&amp;"/ha"</f>
        <v>qtal/ha</v>
      </c>
      <c r="H9" s="13" t="str">
        <f t="shared" ref="H9:H18" si="1">IF((F9&gt;=$C$5),"Oui","Non")</f>
        <v>Oui</v>
      </c>
      <c r="I9" s="206"/>
      <c r="J9" s="14" t="str">
        <f>IF(C6="€","€/qtal","CHF/dt")</f>
        <v>€/qtal</v>
      </c>
      <c r="K9" s="15">
        <f t="shared" ref="K9:K18" si="2">F9*I9*$C$4</f>
        <v>0</v>
      </c>
      <c r="L9" s="16" t="str">
        <f>C6</f>
        <v>€</v>
      </c>
      <c r="M9" s="17">
        <f>$C$4*$C$5*I9-($C$4*F9*I9)</f>
        <v>0</v>
      </c>
      <c r="N9" s="16" t="str">
        <f>L9</f>
        <v>€</v>
      </c>
      <c r="O9" s="18">
        <v>0</v>
      </c>
      <c r="P9" s="16" t="str">
        <f>N9</f>
        <v>€</v>
      </c>
      <c r="Q9" s="212"/>
      <c r="R9" s="47" t="str">
        <f>P9</f>
        <v>€</v>
      </c>
    </row>
    <row r="10" spans="1:18" x14ac:dyDescent="0.25">
      <c r="A10" s="219"/>
      <c r="B10" s="89">
        <v>2</v>
      </c>
      <c r="C10" s="13" t="s">
        <v>37</v>
      </c>
      <c r="D10" s="206"/>
      <c r="E10" s="14" t="s">
        <v>38</v>
      </c>
      <c r="F10" s="15">
        <f t="shared" si="0"/>
        <v>0</v>
      </c>
      <c r="G10" s="14" t="str">
        <f>G9</f>
        <v>qtal/ha</v>
      </c>
      <c r="H10" s="13" t="str">
        <f t="shared" si="1"/>
        <v>Oui</v>
      </c>
      <c r="I10" s="206"/>
      <c r="J10" s="14" t="str">
        <f>J9</f>
        <v>€/qtal</v>
      </c>
      <c r="K10" s="15">
        <f t="shared" si="2"/>
        <v>0</v>
      </c>
      <c r="L10" s="16" t="str">
        <f>L9</f>
        <v>€</v>
      </c>
      <c r="M10" s="17">
        <f t="shared" ref="M10:M18" si="3">$C$4*$C$5*I10-($C$4*F10*I10)</f>
        <v>0</v>
      </c>
      <c r="N10" s="16" t="str">
        <f t="shared" ref="N10:N18" si="4">L10</f>
        <v>€</v>
      </c>
      <c r="O10" s="18">
        <v>0</v>
      </c>
      <c r="P10" s="16" t="str">
        <f t="shared" ref="P10:P19" si="5">N10</f>
        <v>€</v>
      </c>
      <c r="Q10" s="212"/>
      <c r="R10" s="16" t="str">
        <f>R9</f>
        <v>€</v>
      </c>
    </row>
    <row r="11" spans="1:18" x14ac:dyDescent="0.25">
      <c r="A11" s="219"/>
      <c r="B11" s="89">
        <v>3</v>
      </c>
      <c r="C11" s="13" t="s">
        <v>37</v>
      </c>
      <c r="D11" s="206"/>
      <c r="E11" s="14" t="s">
        <v>38</v>
      </c>
      <c r="F11" s="15">
        <f t="shared" si="0"/>
        <v>0</v>
      </c>
      <c r="G11" s="14" t="str">
        <f t="shared" ref="G11:G18" si="6">G10</f>
        <v>qtal/ha</v>
      </c>
      <c r="H11" s="13" t="str">
        <f t="shared" si="1"/>
        <v>Oui</v>
      </c>
      <c r="I11" s="206"/>
      <c r="J11" s="14" t="str">
        <f t="shared" ref="J11:J17" si="7">J10</f>
        <v>€/qtal</v>
      </c>
      <c r="K11" s="15">
        <f t="shared" si="2"/>
        <v>0</v>
      </c>
      <c r="L11" s="16" t="str">
        <f t="shared" ref="L11:L18" si="8">L10</f>
        <v>€</v>
      </c>
      <c r="M11" s="17">
        <f t="shared" si="3"/>
        <v>0</v>
      </c>
      <c r="N11" s="16" t="str">
        <f t="shared" si="4"/>
        <v>€</v>
      </c>
      <c r="O11" s="18">
        <v>0</v>
      </c>
      <c r="P11" s="16" t="str">
        <f t="shared" si="5"/>
        <v>€</v>
      </c>
      <c r="Q11" s="212"/>
      <c r="R11" s="16" t="str">
        <f t="shared" ref="R11:R18" si="9">R10</f>
        <v>€</v>
      </c>
    </row>
    <row r="12" spans="1:18" x14ac:dyDescent="0.25">
      <c r="A12" s="219"/>
      <c r="B12" s="89">
        <v>4</v>
      </c>
      <c r="C12" s="13" t="s">
        <v>37</v>
      </c>
      <c r="D12" s="206"/>
      <c r="E12" s="14" t="s">
        <v>38</v>
      </c>
      <c r="F12" s="15">
        <f t="shared" si="0"/>
        <v>0</v>
      </c>
      <c r="G12" s="14" t="str">
        <f t="shared" si="6"/>
        <v>qtal/ha</v>
      </c>
      <c r="H12" s="13" t="str">
        <f t="shared" si="1"/>
        <v>Oui</v>
      </c>
      <c r="I12" s="206"/>
      <c r="J12" s="14" t="str">
        <f t="shared" si="7"/>
        <v>€/qtal</v>
      </c>
      <c r="K12" s="15">
        <f t="shared" si="2"/>
        <v>0</v>
      </c>
      <c r="L12" s="16" t="str">
        <f t="shared" si="8"/>
        <v>€</v>
      </c>
      <c r="M12" s="17">
        <f t="shared" si="3"/>
        <v>0</v>
      </c>
      <c r="N12" s="16" t="str">
        <f t="shared" si="4"/>
        <v>€</v>
      </c>
      <c r="O12" s="18">
        <v>0</v>
      </c>
      <c r="P12" s="16" t="str">
        <f t="shared" si="5"/>
        <v>€</v>
      </c>
      <c r="Q12" s="212"/>
      <c r="R12" s="16" t="str">
        <f t="shared" si="9"/>
        <v>€</v>
      </c>
    </row>
    <row r="13" spans="1:18" x14ac:dyDescent="0.25">
      <c r="A13" s="219"/>
      <c r="B13" s="89">
        <v>5</v>
      </c>
      <c r="C13" s="13" t="s">
        <v>37</v>
      </c>
      <c r="D13" s="206"/>
      <c r="E13" s="14" t="s">
        <v>38</v>
      </c>
      <c r="F13" s="15">
        <f t="shared" si="0"/>
        <v>0</v>
      </c>
      <c r="G13" s="14" t="str">
        <f t="shared" si="6"/>
        <v>qtal/ha</v>
      </c>
      <c r="H13" s="13" t="str">
        <f t="shared" si="1"/>
        <v>Oui</v>
      </c>
      <c r="I13" s="206"/>
      <c r="J13" s="14" t="str">
        <f t="shared" si="7"/>
        <v>€/qtal</v>
      </c>
      <c r="K13" s="15">
        <f t="shared" si="2"/>
        <v>0</v>
      </c>
      <c r="L13" s="16" t="str">
        <f t="shared" si="8"/>
        <v>€</v>
      </c>
      <c r="M13" s="17">
        <f t="shared" si="3"/>
        <v>0</v>
      </c>
      <c r="N13" s="16" t="str">
        <f t="shared" si="4"/>
        <v>€</v>
      </c>
      <c r="O13" s="18">
        <v>0</v>
      </c>
      <c r="P13" s="16" t="str">
        <f t="shared" si="5"/>
        <v>€</v>
      </c>
      <c r="Q13" s="212"/>
      <c r="R13" s="16" t="str">
        <f t="shared" si="9"/>
        <v>€</v>
      </c>
    </row>
    <row r="14" spans="1:18" x14ac:dyDescent="0.25">
      <c r="A14" s="219"/>
      <c r="B14" s="89">
        <v>6</v>
      </c>
      <c r="C14" s="13" t="s">
        <v>37</v>
      </c>
      <c r="D14" s="206"/>
      <c r="E14" s="14" t="s">
        <v>38</v>
      </c>
      <c r="F14" s="15">
        <f t="shared" si="0"/>
        <v>0</v>
      </c>
      <c r="G14" s="14" t="str">
        <f t="shared" si="6"/>
        <v>qtal/ha</v>
      </c>
      <c r="H14" s="13" t="str">
        <f t="shared" si="1"/>
        <v>Oui</v>
      </c>
      <c r="I14" s="206"/>
      <c r="J14" s="14" t="str">
        <f t="shared" si="7"/>
        <v>€/qtal</v>
      </c>
      <c r="K14" s="15">
        <f t="shared" si="2"/>
        <v>0</v>
      </c>
      <c r="L14" s="16" t="str">
        <f t="shared" si="8"/>
        <v>€</v>
      </c>
      <c r="M14" s="17">
        <f t="shared" si="3"/>
        <v>0</v>
      </c>
      <c r="N14" s="16" t="str">
        <f t="shared" si="4"/>
        <v>€</v>
      </c>
      <c r="O14" s="18">
        <v>0</v>
      </c>
      <c r="P14" s="16" t="str">
        <f t="shared" si="5"/>
        <v>€</v>
      </c>
      <c r="Q14" s="212"/>
      <c r="R14" s="16" t="str">
        <f t="shared" si="9"/>
        <v>€</v>
      </c>
    </row>
    <row r="15" spans="1:18" x14ac:dyDescent="0.25">
      <c r="A15" s="219"/>
      <c r="B15" s="89">
        <v>7</v>
      </c>
      <c r="C15" s="13" t="s">
        <v>37</v>
      </c>
      <c r="D15" s="206"/>
      <c r="E15" s="14" t="s">
        <v>38</v>
      </c>
      <c r="F15" s="15">
        <f t="shared" si="0"/>
        <v>0</v>
      </c>
      <c r="G15" s="14" t="str">
        <f t="shared" si="6"/>
        <v>qtal/ha</v>
      </c>
      <c r="H15" s="13" t="str">
        <f t="shared" si="1"/>
        <v>Oui</v>
      </c>
      <c r="I15" s="206"/>
      <c r="J15" s="14" t="str">
        <f t="shared" si="7"/>
        <v>€/qtal</v>
      </c>
      <c r="K15" s="15">
        <f t="shared" si="2"/>
        <v>0</v>
      </c>
      <c r="L15" s="16" t="str">
        <f t="shared" si="8"/>
        <v>€</v>
      </c>
      <c r="M15" s="17">
        <f t="shared" si="3"/>
        <v>0</v>
      </c>
      <c r="N15" s="16" t="str">
        <f t="shared" si="4"/>
        <v>€</v>
      </c>
      <c r="O15" s="18">
        <v>0</v>
      </c>
      <c r="P15" s="16" t="str">
        <f t="shared" si="5"/>
        <v>€</v>
      </c>
      <c r="Q15" s="212"/>
      <c r="R15" s="16" t="str">
        <f t="shared" si="9"/>
        <v>€</v>
      </c>
    </row>
    <row r="16" spans="1:18" x14ac:dyDescent="0.25">
      <c r="A16" s="219"/>
      <c r="B16" s="89">
        <v>8</v>
      </c>
      <c r="C16" s="13" t="s">
        <v>37</v>
      </c>
      <c r="D16" s="206"/>
      <c r="E16" s="14" t="s">
        <v>38</v>
      </c>
      <c r="F16" s="15">
        <f t="shared" si="0"/>
        <v>0</v>
      </c>
      <c r="G16" s="14" t="str">
        <f t="shared" si="6"/>
        <v>qtal/ha</v>
      </c>
      <c r="H16" s="13" t="str">
        <f t="shared" si="1"/>
        <v>Oui</v>
      </c>
      <c r="I16" s="206"/>
      <c r="J16" s="14" t="str">
        <f t="shared" si="7"/>
        <v>€/qtal</v>
      </c>
      <c r="K16" s="15">
        <f t="shared" si="2"/>
        <v>0</v>
      </c>
      <c r="L16" s="16" t="str">
        <f t="shared" si="8"/>
        <v>€</v>
      </c>
      <c r="M16" s="17">
        <f t="shared" si="3"/>
        <v>0</v>
      </c>
      <c r="N16" s="16" t="str">
        <f t="shared" si="4"/>
        <v>€</v>
      </c>
      <c r="O16" s="18">
        <v>0</v>
      </c>
      <c r="P16" s="16" t="str">
        <f t="shared" si="5"/>
        <v>€</v>
      </c>
      <c r="Q16" s="212"/>
      <c r="R16" s="16" t="str">
        <f t="shared" si="9"/>
        <v>€</v>
      </c>
    </row>
    <row r="17" spans="1:18" x14ac:dyDescent="0.25">
      <c r="A17" s="219"/>
      <c r="B17" s="89">
        <v>9</v>
      </c>
      <c r="C17" s="13" t="s">
        <v>37</v>
      </c>
      <c r="D17" s="206"/>
      <c r="E17" s="14" t="s">
        <v>38</v>
      </c>
      <c r="F17" s="15">
        <f t="shared" si="0"/>
        <v>0</v>
      </c>
      <c r="G17" s="14" t="str">
        <f t="shared" si="6"/>
        <v>qtal/ha</v>
      </c>
      <c r="H17" s="13" t="str">
        <f t="shared" si="1"/>
        <v>Oui</v>
      </c>
      <c r="I17" s="206"/>
      <c r="J17" s="14" t="str">
        <f t="shared" si="7"/>
        <v>€/qtal</v>
      </c>
      <c r="K17" s="15">
        <f t="shared" si="2"/>
        <v>0</v>
      </c>
      <c r="L17" s="16" t="str">
        <f t="shared" si="8"/>
        <v>€</v>
      </c>
      <c r="M17" s="17">
        <f t="shared" si="3"/>
        <v>0</v>
      </c>
      <c r="N17" s="16" t="str">
        <f t="shared" si="4"/>
        <v>€</v>
      </c>
      <c r="O17" s="18">
        <v>0</v>
      </c>
      <c r="P17" s="16" t="str">
        <f t="shared" si="5"/>
        <v>€</v>
      </c>
      <c r="Q17" s="212"/>
      <c r="R17" s="16" t="str">
        <f t="shared" si="9"/>
        <v>€</v>
      </c>
    </row>
    <row r="18" spans="1:18" ht="15.75" thickBot="1" x14ac:dyDescent="0.3">
      <c r="A18" s="219"/>
      <c r="B18" s="89">
        <v>10</v>
      </c>
      <c r="C18" s="13" t="s">
        <v>37</v>
      </c>
      <c r="D18" s="206"/>
      <c r="E18" s="14" t="s">
        <v>38</v>
      </c>
      <c r="F18" s="15">
        <f t="shared" si="0"/>
        <v>0</v>
      </c>
      <c r="G18" s="14" t="str">
        <f t="shared" si="6"/>
        <v>qtal/ha</v>
      </c>
      <c r="H18" s="13" t="str">
        <f t="shared" si="1"/>
        <v>Oui</v>
      </c>
      <c r="I18" s="206"/>
      <c r="J18" s="14" t="str">
        <f>J17</f>
        <v>€/qtal</v>
      </c>
      <c r="K18" s="15">
        <f t="shared" si="2"/>
        <v>0</v>
      </c>
      <c r="L18" s="16" t="str">
        <f t="shared" si="8"/>
        <v>€</v>
      </c>
      <c r="M18" s="17">
        <f t="shared" si="3"/>
        <v>0</v>
      </c>
      <c r="N18" s="16" t="str">
        <f t="shared" si="4"/>
        <v>€</v>
      </c>
      <c r="O18" s="18">
        <v>0</v>
      </c>
      <c r="P18" s="16" t="str">
        <f t="shared" si="5"/>
        <v>€</v>
      </c>
      <c r="Q18" s="212"/>
      <c r="R18" s="31" t="str">
        <f t="shared" si="9"/>
        <v>€</v>
      </c>
    </row>
    <row r="19" spans="1:18" ht="15.75" thickBot="1" x14ac:dyDescent="0.3">
      <c r="A19" s="219"/>
      <c r="B19" s="19" t="s">
        <v>31</v>
      </c>
      <c r="C19" s="20"/>
      <c r="D19" s="21" t="e">
        <f>AVERAGE(D9:D18)</f>
        <v>#DIV/0!</v>
      </c>
      <c r="E19" s="22" t="s">
        <v>38</v>
      </c>
      <c r="F19" s="21">
        <f>AVERAGE(F9:F18)</f>
        <v>0</v>
      </c>
      <c r="G19" s="22" t="str">
        <f>G9&amp;"/an"</f>
        <v>qtal/ha/an</v>
      </c>
      <c r="H19" s="19"/>
      <c r="I19" s="21" t="e">
        <f>AVERAGE(I9:I18)</f>
        <v>#DIV/0!</v>
      </c>
      <c r="J19" s="22" t="str">
        <f>J18&amp;"/an"</f>
        <v>€/qtal/an</v>
      </c>
      <c r="K19" s="21">
        <f>AVERAGE(K9:K18)</f>
        <v>0</v>
      </c>
      <c r="L19" s="23" t="str">
        <f>L18&amp;"/an"</f>
        <v>€/an</v>
      </c>
      <c r="M19" s="24">
        <f>AVERAGE(M9:M18)</f>
        <v>0</v>
      </c>
      <c r="N19" s="23" t="str">
        <f>L19</f>
        <v>€/an</v>
      </c>
      <c r="O19" s="24">
        <f>AVERAGE(O9:O18)</f>
        <v>0</v>
      </c>
      <c r="P19" s="23" t="str">
        <f t="shared" si="5"/>
        <v>€/an</v>
      </c>
      <c r="Q19" s="24" t="e">
        <f>AVERAGE(Q9:Q18)</f>
        <v>#DIV/0!</v>
      </c>
      <c r="R19" s="23" t="str">
        <f>P19</f>
        <v>€/an</v>
      </c>
    </row>
    <row r="20" spans="1:18" ht="15.75" thickBot="1" x14ac:dyDescent="0.3">
      <c r="A20" s="220"/>
      <c r="B20" s="25" t="s">
        <v>32</v>
      </c>
      <c r="C20" s="26"/>
      <c r="D20" s="27"/>
      <c r="E20" s="11"/>
      <c r="F20" s="27"/>
      <c r="G20" s="11"/>
      <c r="H20" s="90">
        <f>COUNTIF(H9:H18,"Oui")</f>
        <v>10</v>
      </c>
      <c r="I20" s="27"/>
      <c r="J20" s="11"/>
      <c r="K20" s="28">
        <f>SUM(K9:K18)</f>
        <v>0</v>
      </c>
      <c r="L20" s="29" t="str">
        <f>L18</f>
        <v>€</v>
      </c>
      <c r="M20" s="30">
        <f>SUM(M9:M18)</f>
        <v>0</v>
      </c>
      <c r="N20" s="29" t="str">
        <f>L20</f>
        <v>€</v>
      </c>
      <c r="O20" s="30">
        <f>SUM(O9:O18)</f>
        <v>0</v>
      </c>
      <c r="P20" s="31" t="str">
        <f>N20</f>
        <v>€</v>
      </c>
      <c r="Q20" s="30">
        <f>SUM(Q9:Q18)</f>
        <v>0</v>
      </c>
      <c r="R20" s="22" t="str">
        <f>P20</f>
        <v>€</v>
      </c>
    </row>
    <row r="21" spans="1:18" x14ac:dyDescent="0.25">
      <c r="A21" s="32"/>
      <c r="C21" s="33"/>
      <c r="D21" s="33"/>
      <c r="E21" s="33"/>
    </row>
    <row r="22" spans="1:18" ht="15.75" thickBot="1" x14ac:dyDescent="0.3">
      <c r="B22" s="34"/>
      <c r="C22" s="35"/>
      <c r="D22" s="35"/>
      <c r="E22" s="36"/>
      <c r="F22" s="35"/>
    </row>
    <row r="23" spans="1:18" x14ac:dyDescent="0.25">
      <c r="A23" s="218" t="s">
        <v>88</v>
      </c>
      <c r="B23" s="37" t="s">
        <v>11</v>
      </c>
      <c r="C23" s="207"/>
      <c r="D23" s="38" t="s">
        <v>72</v>
      </c>
      <c r="E23" s="39"/>
      <c r="F23" s="40"/>
    </row>
    <row r="24" spans="1:18" x14ac:dyDescent="0.25">
      <c r="A24" s="219"/>
      <c r="B24" s="18" t="s">
        <v>106</v>
      </c>
      <c r="C24" s="208"/>
      <c r="D24" s="41" t="s">
        <v>13</v>
      </c>
      <c r="E24" s="39"/>
      <c r="F24" s="40"/>
    </row>
    <row r="25" spans="1:18" x14ac:dyDescent="0.25">
      <c r="A25" s="219"/>
      <c r="B25" s="18" t="s">
        <v>109</v>
      </c>
      <c r="C25" s="208"/>
      <c r="D25" s="41" t="s">
        <v>12</v>
      </c>
      <c r="E25" s="39"/>
      <c r="F25" s="40"/>
    </row>
    <row r="26" spans="1:18" ht="15.75" thickBot="1" x14ac:dyDescent="0.3">
      <c r="A26" s="220"/>
      <c r="B26" s="42" t="s">
        <v>110</v>
      </c>
      <c r="C26" s="209">
        <f>C25*C4</f>
        <v>0</v>
      </c>
      <c r="D26" s="43" t="s">
        <v>10</v>
      </c>
      <c r="E26" s="39"/>
      <c r="F26" s="40"/>
    </row>
    <row r="27" spans="1:18" x14ac:dyDescent="0.25">
      <c r="B27" s="35"/>
      <c r="C27" s="36"/>
      <c r="D27" s="40"/>
      <c r="E27" s="40"/>
      <c r="F27" s="40"/>
    </row>
    <row r="28" spans="1:18" ht="15.75" thickBot="1" x14ac:dyDescent="0.3">
      <c r="B28" s="35"/>
      <c r="D28" s="44"/>
      <c r="E28" s="44"/>
      <c r="F28" s="40"/>
      <c r="G28" s="40"/>
    </row>
    <row r="29" spans="1:18" ht="38.450000000000003" customHeight="1" thickBot="1" x14ac:dyDescent="0.3">
      <c r="A29" s="218" t="s">
        <v>89</v>
      </c>
      <c r="B29" s="45" t="s">
        <v>23</v>
      </c>
      <c r="C29" s="213" t="s">
        <v>67</v>
      </c>
      <c r="D29" s="214"/>
      <c r="E29" s="213" t="s">
        <v>73</v>
      </c>
      <c r="F29" s="214"/>
      <c r="G29" s="44"/>
    </row>
    <row r="30" spans="1:18" ht="14.45" customHeight="1" x14ac:dyDescent="0.25">
      <c r="A30" s="219"/>
      <c r="B30" s="89">
        <v>1</v>
      </c>
      <c r="C30" s="37">
        <f t="shared" ref="C30:C39" si="10">$C$25*(1-D9/100)</f>
        <v>0</v>
      </c>
      <c r="D30" s="47" t="s">
        <v>12</v>
      </c>
      <c r="E30" s="37">
        <f t="shared" ref="E30:E39" si="11">C30*$C$4</f>
        <v>0</v>
      </c>
      <c r="F30" s="48" t="s">
        <v>18</v>
      </c>
    </row>
    <row r="31" spans="1:18" x14ac:dyDescent="0.25">
      <c r="A31" s="219"/>
      <c r="B31" s="89">
        <v>2</v>
      </c>
      <c r="C31" s="18">
        <f t="shared" si="10"/>
        <v>0</v>
      </c>
      <c r="D31" s="16" t="s">
        <v>12</v>
      </c>
      <c r="E31" s="18">
        <f t="shared" si="11"/>
        <v>0</v>
      </c>
      <c r="F31" s="49" t="s">
        <v>18</v>
      </c>
    </row>
    <row r="32" spans="1:18" x14ac:dyDescent="0.25">
      <c r="A32" s="219"/>
      <c r="B32" s="89">
        <v>3</v>
      </c>
      <c r="C32" s="18">
        <f t="shared" si="10"/>
        <v>0</v>
      </c>
      <c r="D32" s="16" t="s">
        <v>12</v>
      </c>
      <c r="E32" s="18">
        <f t="shared" si="11"/>
        <v>0</v>
      </c>
      <c r="F32" s="49" t="s">
        <v>18</v>
      </c>
    </row>
    <row r="33" spans="1:8" x14ac:dyDescent="0.25">
      <c r="A33" s="219"/>
      <c r="B33" s="89">
        <v>4</v>
      </c>
      <c r="C33" s="18">
        <f t="shared" si="10"/>
        <v>0</v>
      </c>
      <c r="D33" s="16" t="s">
        <v>12</v>
      </c>
      <c r="E33" s="18">
        <f t="shared" si="11"/>
        <v>0</v>
      </c>
      <c r="F33" s="49" t="s">
        <v>18</v>
      </c>
    </row>
    <row r="34" spans="1:8" x14ac:dyDescent="0.25">
      <c r="A34" s="219"/>
      <c r="B34" s="89">
        <v>5</v>
      </c>
      <c r="C34" s="18">
        <f t="shared" si="10"/>
        <v>0</v>
      </c>
      <c r="D34" s="16" t="s">
        <v>12</v>
      </c>
      <c r="E34" s="18">
        <f t="shared" si="11"/>
        <v>0</v>
      </c>
      <c r="F34" s="49" t="s">
        <v>18</v>
      </c>
    </row>
    <row r="35" spans="1:8" x14ac:dyDescent="0.25">
      <c r="A35" s="219"/>
      <c r="B35" s="89">
        <v>6</v>
      </c>
      <c r="C35" s="18">
        <f t="shared" si="10"/>
        <v>0</v>
      </c>
      <c r="D35" s="16" t="s">
        <v>12</v>
      </c>
      <c r="E35" s="18">
        <f t="shared" si="11"/>
        <v>0</v>
      </c>
      <c r="F35" s="49" t="s">
        <v>18</v>
      </c>
    </row>
    <row r="36" spans="1:8" x14ac:dyDescent="0.25">
      <c r="A36" s="219"/>
      <c r="B36" s="89">
        <v>7</v>
      </c>
      <c r="C36" s="18">
        <f t="shared" si="10"/>
        <v>0</v>
      </c>
      <c r="D36" s="16" t="s">
        <v>12</v>
      </c>
      <c r="E36" s="18">
        <f t="shared" si="11"/>
        <v>0</v>
      </c>
      <c r="F36" s="49" t="s">
        <v>18</v>
      </c>
    </row>
    <row r="37" spans="1:8" x14ac:dyDescent="0.25">
      <c r="A37" s="219"/>
      <c r="B37" s="89">
        <v>8</v>
      </c>
      <c r="C37" s="18">
        <f t="shared" si="10"/>
        <v>0</v>
      </c>
      <c r="D37" s="16" t="s">
        <v>12</v>
      </c>
      <c r="E37" s="18">
        <f t="shared" si="11"/>
        <v>0</v>
      </c>
      <c r="F37" s="49" t="s">
        <v>18</v>
      </c>
    </row>
    <row r="38" spans="1:8" x14ac:dyDescent="0.25">
      <c r="A38" s="219"/>
      <c r="B38" s="89">
        <v>9</v>
      </c>
      <c r="C38" s="18">
        <f t="shared" si="10"/>
        <v>0</v>
      </c>
      <c r="D38" s="16" t="s">
        <v>12</v>
      </c>
      <c r="E38" s="18">
        <f t="shared" si="11"/>
        <v>0</v>
      </c>
      <c r="F38" s="49" t="s">
        <v>18</v>
      </c>
    </row>
    <row r="39" spans="1:8" ht="15.75" thickBot="1" x14ac:dyDescent="0.3">
      <c r="A39" s="219"/>
      <c r="B39" s="89">
        <v>10</v>
      </c>
      <c r="C39" s="18">
        <f t="shared" si="10"/>
        <v>0</v>
      </c>
      <c r="D39" s="16" t="s">
        <v>12</v>
      </c>
      <c r="E39" s="18">
        <f t="shared" si="11"/>
        <v>0</v>
      </c>
      <c r="F39" s="49" t="s">
        <v>18</v>
      </c>
    </row>
    <row r="40" spans="1:8" x14ac:dyDescent="0.25">
      <c r="A40" s="219"/>
      <c r="B40" s="50" t="s">
        <v>31</v>
      </c>
      <c r="C40" s="37">
        <f>AVERAGE(C30:C39)</f>
        <v>0</v>
      </c>
      <c r="D40" s="47" t="s">
        <v>12</v>
      </c>
      <c r="E40" s="37">
        <f>AVERAGE(E30:E39)</f>
        <v>0</v>
      </c>
      <c r="F40" s="48" t="s">
        <v>10</v>
      </c>
    </row>
    <row r="41" spans="1:8" ht="15.75" thickBot="1" x14ac:dyDescent="0.3">
      <c r="A41" s="220"/>
      <c r="B41" s="26" t="s">
        <v>32</v>
      </c>
      <c r="C41" s="42"/>
      <c r="D41" s="31"/>
      <c r="E41" s="42">
        <f>SUM(E30:E40)</f>
        <v>0</v>
      </c>
      <c r="F41" s="51" t="s">
        <v>18</v>
      </c>
    </row>
    <row r="42" spans="1:8" ht="15.75" thickBot="1" x14ac:dyDescent="0.3"/>
    <row r="43" spans="1:8" ht="15.75" thickBot="1" x14ac:dyDescent="0.3">
      <c r="A43" s="223" t="s">
        <v>69</v>
      </c>
      <c r="B43" s="52" t="s">
        <v>44</v>
      </c>
      <c r="C43" s="53" t="s">
        <v>41</v>
      </c>
      <c r="D43" s="54"/>
      <c r="E43" s="55"/>
      <c r="F43" s="18"/>
      <c r="G43" s="35"/>
      <c r="H43" s="35"/>
    </row>
    <row r="44" spans="1:8" x14ac:dyDescent="0.25">
      <c r="A44" s="224"/>
      <c r="B44" s="18" t="s">
        <v>5</v>
      </c>
      <c r="C44" s="35" t="s">
        <v>6</v>
      </c>
      <c r="D44" s="210"/>
      <c r="E44" s="16" t="str">
        <f>C6</f>
        <v>€</v>
      </c>
      <c r="F44" s="18"/>
      <c r="G44" s="35"/>
      <c r="H44" s="36"/>
    </row>
    <row r="45" spans="1:8" x14ac:dyDescent="0.25">
      <c r="A45" s="224"/>
      <c r="B45" s="18" t="s">
        <v>21</v>
      </c>
      <c r="C45" s="35" t="s">
        <v>42</v>
      </c>
      <c r="D45" s="210"/>
      <c r="E45" s="16" t="str">
        <f>E44</f>
        <v>€</v>
      </c>
      <c r="F45" s="18"/>
      <c r="G45" s="35"/>
      <c r="H45" s="36"/>
    </row>
    <row r="46" spans="1:8" x14ac:dyDescent="0.25">
      <c r="A46" s="224"/>
      <c r="B46" s="18" t="s">
        <v>1</v>
      </c>
      <c r="C46" s="56" t="s">
        <v>60</v>
      </c>
      <c r="D46" s="210"/>
      <c r="E46" s="16" t="str">
        <f t="shared" ref="E46:E49" si="12">E45</f>
        <v>€</v>
      </c>
      <c r="F46" s="18"/>
      <c r="G46" s="35"/>
      <c r="H46" s="36"/>
    </row>
    <row r="47" spans="1:8" x14ac:dyDescent="0.25">
      <c r="A47" s="224"/>
      <c r="B47" s="18" t="s">
        <v>9</v>
      </c>
      <c r="C47" s="56" t="s">
        <v>45</v>
      </c>
      <c r="D47" s="210"/>
      <c r="E47" s="16" t="str">
        <f t="shared" si="12"/>
        <v>€</v>
      </c>
      <c r="F47" s="18"/>
      <c r="G47" s="35"/>
      <c r="H47" s="36"/>
    </row>
    <row r="48" spans="1:8" x14ac:dyDescent="0.25">
      <c r="A48" s="224"/>
      <c r="B48" s="18" t="s">
        <v>19</v>
      </c>
      <c r="C48" s="56" t="s">
        <v>43</v>
      </c>
      <c r="D48" s="210"/>
      <c r="E48" s="16" t="str">
        <f t="shared" si="12"/>
        <v>€</v>
      </c>
      <c r="F48" s="18"/>
      <c r="G48" s="35"/>
      <c r="H48" s="36"/>
    </row>
    <row r="49" spans="1:29" x14ac:dyDescent="0.25">
      <c r="A49" s="224"/>
      <c r="B49" s="18" t="s">
        <v>7</v>
      </c>
      <c r="C49" s="56" t="s">
        <v>76</v>
      </c>
      <c r="D49" s="210"/>
      <c r="E49" s="16" t="str">
        <f t="shared" si="12"/>
        <v>€</v>
      </c>
      <c r="F49" s="18"/>
      <c r="G49" s="35"/>
      <c r="H49" s="36"/>
    </row>
    <row r="50" spans="1:29" ht="15.75" thickBot="1" x14ac:dyDescent="0.3">
      <c r="A50" s="224"/>
      <c r="B50" s="18" t="s">
        <v>27</v>
      </c>
      <c r="C50" s="35"/>
      <c r="D50" s="210"/>
      <c r="E50" s="16" t="str">
        <f>E49</f>
        <v>€</v>
      </c>
      <c r="F50" s="18"/>
      <c r="G50" s="35"/>
      <c r="H50" s="36"/>
    </row>
    <row r="51" spans="1:29" ht="15.75" thickBot="1" x14ac:dyDescent="0.3">
      <c r="A51" s="224"/>
      <c r="B51" s="57" t="s">
        <v>4</v>
      </c>
      <c r="C51" s="58"/>
      <c r="D51" s="58">
        <f>SUM(D44:D50)</f>
        <v>0</v>
      </c>
      <c r="E51" s="38" t="str">
        <f>E49</f>
        <v>€</v>
      </c>
      <c r="F51" s="59"/>
      <c r="G51" s="60"/>
      <c r="H51" s="36"/>
    </row>
    <row r="52" spans="1:29" ht="15.75" thickBot="1" x14ac:dyDescent="0.3">
      <c r="A52" s="224"/>
      <c r="B52" s="61" t="s">
        <v>46</v>
      </c>
      <c r="C52" s="62"/>
      <c r="D52" s="63">
        <f>D51/10</f>
        <v>0</v>
      </c>
      <c r="E52" s="23" t="str">
        <f>E51&amp;"/an"</f>
        <v>€/an</v>
      </c>
      <c r="F52" s="59"/>
      <c r="G52" s="34"/>
      <c r="H52" s="36"/>
    </row>
    <row r="53" spans="1:29" ht="15.75" thickBot="1" x14ac:dyDescent="0.3">
      <c r="A53" s="225"/>
      <c r="B53" s="64" t="s">
        <v>17</v>
      </c>
      <c r="C53" s="65"/>
      <c r="D53" s="66" t="e">
        <f>D52/$C$4</f>
        <v>#DIV/0!</v>
      </c>
      <c r="E53" s="67" t="str">
        <f>E52&amp;"/ha"</f>
        <v>€/an/ha</v>
      </c>
      <c r="F53" s="59"/>
      <c r="G53" s="68"/>
      <c r="H53" s="36"/>
    </row>
    <row r="54" spans="1:29" x14ac:dyDescent="0.25">
      <c r="G54" s="35"/>
    </row>
    <row r="55" spans="1:29" ht="15.75" thickBot="1" x14ac:dyDescent="0.3">
      <c r="B55" s="56"/>
      <c r="C55" s="35"/>
      <c r="D55" s="35"/>
      <c r="F55" s="56"/>
      <c r="G55" s="35"/>
      <c r="R55" s="2" t="s">
        <v>57</v>
      </c>
    </row>
    <row r="56" spans="1:29" ht="15.75" thickBot="1" x14ac:dyDescent="0.3">
      <c r="A56" s="218" t="s">
        <v>61</v>
      </c>
      <c r="B56" s="19" t="s">
        <v>23</v>
      </c>
      <c r="C56" s="216" t="s">
        <v>34</v>
      </c>
      <c r="D56" s="217"/>
      <c r="E56" s="216" t="s">
        <v>70</v>
      </c>
      <c r="F56" s="217"/>
      <c r="G56" s="216" t="s">
        <v>28</v>
      </c>
      <c r="H56" s="217"/>
      <c r="I56" s="216" t="s">
        <v>8</v>
      </c>
      <c r="J56" s="217"/>
      <c r="K56" s="221" t="s">
        <v>35</v>
      </c>
      <c r="L56" s="222"/>
      <c r="M56" s="216" t="s">
        <v>39</v>
      </c>
      <c r="N56" s="217"/>
      <c r="O56" s="216" t="s">
        <v>33</v>
      </c>
      <c r="P56" s="217"/>
      <c r="Q56" s="35"/>
      <c r="R56" s="91" t="s">
        <v>58</v>
      </c>
      <c r="S56" s="35"/>
      <c r="T56" s="56" t="s">
        <v>59</v>
      </c>
      <c r="U56" s="56"/>
      <c r="V56" s="2" t="s">
        <v>54</v>
      </c>
      <c r="X56" s="2" t="s">
        <v>56</v>
      </c>
      <c r="Z56" s="2" t="s">
        <v>30</v>
      </c>
      <c r="AB56" s="2" t="s">
        <v>29</v>
      </c>
    </row>
    <row r="57" spans="1:29" x14ac:dyDescent="0.25">
      <c r="A57" s="219"/>
      <c r="B57" s="89">
        <v>1</v>
      </c>
      <c r="C57" s="15" t="e">
        <f>E57+G57+I57+K57+M57+O57</f>
        <v>#DIV/0!</v>
      </c>
      <c r="D57" s="14" t="str">
        <f>E44</f>
        <v>€</v>
      </c>
      <c r="E57" s="18">
        <f t="shared" ref="E57:E66" si="13">E30*T57*R57</f>
        <v>0</v>
      </c>
      <c r="F57" s="16" t="str">
        <f>D57</f>
        <v>€</v>
      </c>
      <c r="G57" s="18">
        <f t="shared" ref="G57:G66" si="14">IF((E30&gt;10000),E30*V57,0)</f>
        <v>0</v>
      </c>
      <c r="H57" s="16" t="str">
        <f>F57</f>
        <v>€</v>
      </c>
      <c r="I57" s="18" t="e">
        <f>(C30/($C$24*10))*Z57*X57</f>
        <v>#DIV/0!</v>
      </c>
      <c r="J57" s="16" t="str">
        <f>H57</f>
        <v>€</v>
      </c>
      <c r="K57" s="18" t="e">
        <f>C30/($C$24*10)*AB57*X57</f>
        <v>#DIV/0!</v>
      </c>
      <c r="L57" s="16" t="str">
        <f>J57</f>
        <v>€</v>
      </c>
      <c r="M57" s="18">
        <v>400</v>
      </c>
      <c r="N57" s="16" t="str">
        <f>L57</f>
        <v>€</v>
      </c>
      <c r="O57" s="18">
        <v>0</v>
      </c>
      <c r="P57" s="16" t="str">
        <f>N57</f>
        <v>€</v>
      </c>
      <c r="R57" s="211"/>
      <c r="S57" s="2" t="s">
        <v>53</v>
      </c>
      <c r="T57" s="210"/>
      <c r="U57" s="56" t="str">
        <f>P57&amp;"/Kwatt"</f>
        <v>€/Kwatt</v>
      </c>
      <c r="V57" s="211"/>
      <c r="W57" s="2" t="str">
        <f>P57&amp;"/m3"</f>
        <v>€/m3</v>
      </c>
      <c r="X57" s="211"/>
      <c r="Y57" s="2" t="s">
        <v>55</v>
      </c>
      <c r="Z57" s="211"/>
      <c r="AA57" s="2" t="str">
        <f>P57&amp;"/h"</f>
        <v>€/h</v>
      </c>
      <c r="AB57" s="211"/>
      <c r="AC57" s="2" t="str">
        <f>AA57&amp;" de tracteur"</f>
        <v>€/h de tracteur</v>
      </c>
    </row>
    <row r="58" spans="1:29" x14ac:dyDescent="0.25">
      <c r="A58" s="219"/>
      <c r="B58" s="89">
        <v>2</v>
      </c>
      <c r="C58" s="15" t="e">
        <f t="shared" ref="C58:C66" si="15">E58+G58+I58+K58+M58+O58</f>
        <v>#DIV/0!</v>
      </c>
      <c r="D58" s="14" t="str">
        <f>D57</f>
        <v>€</v>
      </c>
      <c r="E58" s="18">
        <f t="shared" si="13"/>
        <v>0</v>
      </c>
      <c r="F58" s="16" t="str">
        <f t="shared" ref="F58:F66" si="16">D58</f>
        <v>€</v>
      </c>
      <c r="G58" s="18">
        <f t="shared" si="14"/>
        <v>0</v>
      </c>
      <c r="H58" s="16" t="str">
        <f t="shared" ref="H58:H66" si="17">F58</f>
        <v>€</v>
      </c>
      <c r="I58" s="18" t="e">
        <f t="shared" ref="I58:I66" si="18">(C31/($C$24*10))*Z58*X58</f>
        <v>#DIV/0!</v>
      </c>
      <c r="J58" s="16" t="str">
        <f t="shared" ref="J58:J68" si="19">H58</f>
        <v>€</v>
      </c>
      <c r="K58" s="18" t="e">
        <f t="shared" ref="K58:K66" si="20">C31/($C$24*10)*AB58*X58</f>
        <v>#DIV/0!</v>
      </c>
      <c r="L58" s="16" t="str">
        <f t="shared" ref="L58:L68" si="21">J58</f>
        <v>€</v>
      </c>
      <c r="M58" s="18">
        <v>400</v>
      </c>
      <c r="N58" s="16" t="str">
        <f t="shared" ref="N58:N68" si="22">L58</f>
        <v>€</v>
      </c>
      <c r="O58" s="18">
        <v>0</v>
      </c>
      <c r="P58" s="16" t="str">
        <f t="shared" ref="P58:P68" si="23">N58</f>
        <v>€</v>
      </c>
      <c r="R58" s="211"/>
      <c r="S58" s="2" t="s">
        <v>53</v>
      </c>
      <c r="T58" s="210"/>
      <c r="U58" s="56" t="str">
        <f t="shared" ref="U58:U66" si="24">P58&amp;"/Kwatt"</f>
        <v>€/Kwatt</v>
      </c>
      <c r="V58" s="211"/>
      <c r="W58" s="2" t="str">
        <f t="shared" ref="W58:W66" si="25">P58&amp;"/m3"</f>
        <v>€/m3</v>
      </c>
      <c r="X58" s="211"/>
      <c r="Y58" s="2" t="s">
        <v>55</v>
      </c>
      <c r="Z58" s="211"/>
      <c r="AA58" s="2" t="str">
        <f t="shared" ref="AA58:AA66" si="26">P58&amp;"/h"</f>
        <v>€/h</v>
      </c>
      <c r="AB58" s="211"/>
      <c r="AC58" s="2" t="str">
        <f t="shared" ref="AC58:AC66" si="27">AA58&amp;" de tracteur"</f>
        <v>€/h de tracteur</v>
      </c>
    </row>
    <row r="59" spans="1:29" x14ac:dyDescent="0.25">
      <c r="A59" s="219"/>
      <c r="B59" s="89">
        <v>3</v>
      </c>
      <c r="C59" s="15" t="e">
        <f t="shared" si="15"/>
        <v>#DIV/0!</v>
      </c>
      <c r="D59" s="14" t="str">
        <f t="shared" ref="D59:D66" si="28">D58</f>
        <v>€</v>
      </c>
      <c r="E59" s="18">
        <f t="shared" si="13"/>
        <v>0</v>
      </c>
      <c r="F59" s="16" t="str">
        <f t="shared" si="16"/>
        <v>€</v>
      </c>
      <c r="G59" s="18">
        <f t="shared" si="14"/>
        <v>0</v>
      </c>
      <c r="H59" s="16" t="str">
        <f t="shared" si="17"/>
        <v>€</v>
      </c>
      <c r="I59" s="18" t="e">
        <f t="shared" si="18"/>
        <v>#DIV/0!</v>
      </c>
      <c r="J59" s="16" t="str">
        <f t="shared" si="19"/>
        <v>€</v>
      </c>
      <c r="K59" s="18" t="e">
        <f t="shared" si="20"/>
        <v>#DIV/0!</v>
      </c>
      <c r="L59" s="16" t="str">
        <f t="shared" si="21"/>
        <v>€</v>
      </c>
      <c r="M59" s="18">
        <v>400</v>
      </c>
      <c r="N59" s="16" t="str">
        <f t="shared" si="22"/>
        <v>€</v>
      </c>
      <c r="O59" s="18">
        <v>0</v>
      </c>
      <c r="P59" s="16" t="str">
        <f t="shared" si="23"/>
        <v>€</v>
      </c>
      <c r="R59" s="211"/>
      <c r="S59" s="2" t="s">
        <v>53</v>
      </c>
      <c r="T59" s="210"/>
      <c r="U59" s="56" t="str">
        <f t="shared" si="24"/>
        <v>€/Kwatt</v>
      </c>
      <c r="V59" s="211"/>
      <c r="W59" s="2" t="str">
        <f t="shared" si="25"/>
        <v>€/m3</v>
      </c>
      <c r="X59" s="211"/>
      <c r="Y59" s="2" t="s">
        <v>55</v>
      </c>
      <c r="Z59" s="211"/>
      <c r="AA59" s="2" t="str">
        <f t="shared" si="26"/>
        <v>€/h</v>
      </c>
      <c r="AB59" s="211"/>
      <c r="AC59" s="2" t="str">
        <f t="shared" si="27"/>
        <v>€/h de tracteur</v>
      </c>
    </row>
    <row r="60" spans="1:29" x14ac:dyDescent="0.25">
      <c r="A60" s="219"/>
      <c r="B60" s="89">
        <v>4</v>
      </c>
      <c r="C60" s="15" t="e">
        <f t="shared" si="15"/>
        <v>#DIV/0!</v>
      </c>
      <c r="D60" s="14" t="str">
        <f t="shared" si="28"/>
        <v>€</v>
      </c>
      <c r="E60" s="18">
        <f t="shared" si="13"/>
        <v>0</v>
      </c>
      <c r="F60" s="16" t="str">
        <f t="shared" si="16"/>
        <v>€</v>
      </c>
      <c r="G60" s="18">
        <f t="shared" si="14"/>
        <v>0</v>
      </c>
      <c r="H60" s="16" t="str">
        <f t="shared" si="17"/>
        <v>€</v>
      </c>
      <c r="I60" s="18" t="e">
        <f t="shared" si="18"/>
        <v>#DIV/0!</v>
      </c>
      <c r="J60" s="16" t="str">
        <f t="shared" si="19"/>
        <v>€</v>
      </c>
      <c r="K60" s="18" t="e">
        <f t="shared" si="20"/>
        <v>#DIV/0!</v>
      </c>
      <c r="L60" s="16" t="str">
        <f t="shared" si="21"/>
        <v>€</v>
      </c>
      <c r="M60" s="18">
        <v>400</v>
      </c>
      <c r="N60" s="16" t="str">
        <f t="shared" si="22"/>
        <v>€</v>
      </c>
      <c r="O60" s="18">
        <v>0</v>
      </c>
      <c r="P60" s="16" t="str">
        <f t="shared" si="23"/>
        <v>€</v>
      </c>
      <c r="R60" s="211"/>
      <c r="S60" s="2" t="s">
        <v>53</v>
      </c>
      <c r="T60" s="210"/>
      <c r="U60" s="56" t="str">
        <f t="shared" si="24"/>
        <v>€/Kwatt</v>
      </c>
      <c r="V60" s="211"/>
      <c r="W60" s="2" t="str">
        <f t="shared" si="25"/>
        <v>€/m3</v>
      </c>
      <c r="X60" s="211"/>
      <c r="Y60" s="2" t="s">
        <v>55</v>
      </c>
      <c r="Z60" s="211"/>
      <c r="AA60" s="2" t="str">
        <f t="shared" si="26"/>
        <v>€/h</v>
      </c>
      <c r="AB60" s="211"/>
      <c r="AC60" s="2" t="str">
        <f t="shared" si="27"/>
        <v>€/h de tracteur</v>
      </c>
    </row>
    <row r="61" spans="1:29" x14ac:dyDescent="0.25">
      <c r="A61" s="219"/>
      <c r="B61" s="89">
        <v>5</v>
      </c>
      <c r="C61" s="15" t="e">
        <f t="shared" si="15"/>
        <v>#DIV/0!</v>
      </c>
      <c r="D61" s="14" t="str">
        <f t="shared" si="28"/>
        <v>€</v>
      </c>
      <c r="E61" s="18">
        <f t="shared" si="13"/>
        <v>0</v>
      </c>
      <c r="F61" s="16" t="str">
        <f t="shared" si="16"/>
        <v>€</v>
      </c>
      <c r="G61" s="18">
        <f t="shared" si="14"/>
        <v>0</v>
      </c>
      <c r="H61" s="16" t="str">
        <f t="shared" si="17"/>
        <v>€</v>
      </c>
      <c r="I61" s="18" t="e">
        <f t="shared" si="18"/>
        <v>#DIV/0!</v>
      </c>
      <c r="J61" s="16" t="str">
        <f t="shared" si="19"/>
        <v>€</v>
      </c>
      <c r="K61" s="18" t="e">
        <f t="shared" si="20"/>
        <v>#DIV/0!</v>
      </c>
      <c r="L61" s="16" t="str">
        <f t="shared" si="21"/>
        <v>€</v>
      </c>
      <c r="M61" s="18">
        <v>400</v>
      </c>
      <c r="N61" s="16" t="str">
        <f t="shared" si="22"/>
        <v>€</v>
      </c>
      <c r="O61" s="18">
        <v>0</v>
      </c>
      <c r="P61" s="16" t="str">
        <f t="shared" si="23"/>
        <v>€</v>
      </c>
      <c r="R61" s="211"/>
      <c r="S61" s="2" t="s">
        <v>53</v>
      </c>
      <c r="T61" s="210"/>
      <c r="U61" s="56" t="str">
        <f t="shared" si="24"/>
        <v>€/Kwatt</v>
      </c>
      <c r="V61" s="211"/>
      <c r="W61" s="2" t="str">
        <f t="shared" si="25"/>
        <v>€/m3</v>
      </c>
      <c r="X61" s="211"/>
      <c r="Y61" s="2" t="s">
        <v>55</v>
      </c>
      <c r="Z61" s="211"/>
      <c r="AA61" s="2" t="str">
        <f t="shared" si="26"/>
        <v>€/h</v>
      </c>
      <c r="AB61" s="211"/>
      <c r="AC61" s="2" t="str">
        <f t="shared" si="27"/>
        <v>€/h de tracteur</v>
      </c>
    </row>
    <row r="62" spans="1:29" x14ac:dyDescent="0.25">
      <c r="A62" s="219"/>
      <c r="B62" s="89">
        <v>6</v>
      </c>
      <c r="C62" s="15" t="e">
        <f t="shared" si="15"/>
        <v>#DIV/0!</v>
      </c>
      <c r="D62" s="14" t="str">
        <f t="shared" si="28"/>
        <v>€</v>
      </c>
      <c r="E62" s="18">
        <f t="shared" si="13"/>
        <v>0</v>
      </c>
      <c r="F62" s="16" t="str">
        <f t="shared" si="16"/>
        <v>€</v>
      </c>
      <c r="G62" s="18">
        <f t="shared" si="14"/>
        <v>0</v>
      </c>
      <c r="H62" s="16" t="str">
        <f t="shared" si="17"/>
        <v>€</v>
      </c>
      <c r="I62" s="18" t="e">
        <f t="shared" si="18"/>
        <v>#DIV/0!</v>
      </c>
      <c r="J62" s="16" t="str">
        <f t="shared" si="19"/>
        <v>€</v>
      </c>
      <c r="K62" s="18" t="e">
        <f t="shared" si="20"/>
        <v>#DIV/0!</v>
      </c>
      <c r="L62" s="16" t="str">
        <f t="shared" si="21"/>
        <v>€</v>
      </c>
      <c r="M62" s="18">
        <v>400</v>
      </c>
      <c r="N62" s="16" t="str">
        <f t="shared" si="22"/>
        <v>€</v>
      </c>
      <c r="O62" s="18">
        <v>0</v>
      </c>
      <c r="P62" s="16" t="str">
        <f t="shared" si="23"/>
        <v>€</v>
      </c>
      <c r="R62" s="211"/>
      <c r="S62" s="2" t="s">
        <v>53</v>
      </c>
      <c r="T62" s="210"/>
      <c r="U62" s="56" t="str">
        <f t="shared" si="24"/>
        <v>€/Kwatt</v>
      </c>
      <c r="V62" s="211"/>
      <c r="W62" s="2" t="str">
        <f t="shared" si="25"/>
        <v>€/m3</v>
      </c>
      <c r="X62" s="211"/>
      <c r="Y62" s="2" t="s">
        <v>55</v>
      </c>
      <c r="Z62" s="211"/>
      <c r="AA62" s="2" t="str">
        <f t="shared" si="26"/>
        <v>€/h</v>
      </c>
      <c r="AB62" s="211"/>
      <c r="AC62" s="2" t="str">
        <f t="shared" si="27"/>
        <v>€/h de tracteur</v>
      </c>
    </row>
    <row r="63" spans="1:29" x14ac:dyDescent="0.25">
      <c r="A63" s="219"/>
      <c r="B63" s="89">
        <v>7</v>
      </c>
      <c r="C63" s="15" t="e">
        <f t="shared" si="15"/>
        <v>#DIV/0!</v>
      </c>
      <c r="D63" s="14" t="str">
        <f t="shared" si="28"/>
        <v>€</v>
      </c>
      <c r="E63" s="18">
        <f t="shared" si="13"/>
        <v>0</v>
      </c>
      <c r="F63" s="16" t="str">
        <f t="shared" si="16"/>
        <v>€</v>
      </c>
      <c r="G63" s="18">
        <f t="shared" si="14"/>
        <v>0</v>
      </c>
      <c r="H63" s="16" t="str">
        <f t="shared" si="17"/>
        <v>€</v>
      </c>
      <c r="I63" s="18" t="e">
        <f t="shared" si="18"/>
        <v>#DIV/0!</v>
      </c>
      <c r="J63" s="16" t="str">
        <f t="shared" si="19"/>
        <v>€</v>
      </c>
      <c r="K63" s="18" t="e">
        <f t="shared" si="20"/>
        <v>#DIV/0!</v>
      </c>
      <c r="L63" s="16" t="str">
        <f t="shared" si="21"/>
        <v>€</v>
      </c>
      <c r="M63" s="18">
        <v>400</v>
      </c>
      <c r="N63" s="16" t="str">
        <f t="shared" si="22"/>
        <v>€</v>
      </c>
      <c r="O63" s="18">
        <v>0</v>
      </c>
      <c r="P63" s="16" t="str">
        <f t="shared" si="23"/>
        <v>€</v>
      </c>
      <c r="R63" s="211"/>
      <c r="S63" s="2" t="s">
        <v>53</v>
      </c>
      <c r="T63" s="210"/>
      <c r="U63" s="56" t="str">
        <f t="shared" si="24"/>
        <v>€/Kwatt</v>
      </c>
      <c r="V63" s="211"/>
      <c r="W63" s="2" t="str">
        <f t="shared" si="25"/>
        <v>€/m3</v>
      </c>
      <c r="X63" s="211"/>
      <c r="Y63" s="2" t="s">
        <v>55</v>
      </c>
      <c r="Z63" s="211"/>
      <c r="AA63" s="2" t="str">
        <f t="shared" si="26"/>
        <v>€/h</v>
      </c>
      <c r="AB63" s="211"/>
      <c r="AC63" s="2" t="str">
        <f t="shared" si="27"/>
        <v>€/h de tracteur</v>
      </c>
    </row>
    <row r="64" spans="1:29" x14ac:dyDescent="0.25">
      <c r="A64" s="219"/>
      <c r="B64" s="89">
        <v>8</v>
      </c>
      <c r="C64" s="15" t="e">
        <f t="shared" si="15"/>
        <v>#DIV/0!</v>
      </c>
      <c r="D64" s="14" t="str">
        <f t="shared" si="28"/>
        <v>€</v>
      </c>
      <c r="E64" s="18">
        <f t="shared" si="13"/>
        <v>0</v>
      </c>
      <c r="F64" s="16" t="str">
        <f t="shared" si="16"/>
        <v>€</v>
      </c>
      <c r="G64" s="18">
        <f t="shared" si="14"/>
        <v>0</v>
      </c>
      <c r="H64" s="16" t="str">
        <f t="shared" si="17"/>
        <v>€</v>
      </c>
      <c r="I64" s="18" t="e">
        <f t="shared" si="18"/>
        <v>#DIV/0!</v>
      </c>
      <c r="J64" s="16" t="str">
        <f t="shared" si="19"/>
        <v>€</v>
      </c>
      <c r="K64" s="18" t="e">
        <f t="shared" si="20"/>
        <v>#DIV/0!</v>
      </c>
      <c r="L64" s="16" t="str">
        <f t="shared" si="21"/>
        <v>€</v>
      </c>
      <c r="M64" s="18">
        <v>400</v>
      </c>
      <c r="N64" s="16" t="str">
        <f t="shared" si="22"/>
        <v>€</v>
      </c>
      <c r="O64" s="18">
        <v>0</v>
      </c>
      <c r="P64" s="16" t="str">
        <f t="shared" si="23"/>
        <v>€</v>
      </c>
      <c r="R64" s="211"/>
      <c r="S64" s="2" t="s">
        <v>53</v>
      </c>
      <c r="T64" s="210"/>
      <c r="U64" s="56" t="str">
        <f t="shared" si="24"/>
        <v>€/Kwatt</v>
      </c>
      <c r="V64" s="211"/>
      <c r="W64" s="2" t="str">
        <f t="shared" si="25"/>
        <v>€/m3</v>
      </c>
      <c r="X64" s="211"/>
      <c r="Y64" s="2" t="s">
        <v>55</v>
      </c>
      <c r="Z64" s="211"/>
      <c r="AA64" s="2" t="str">
        <f t="shared" si="26"/>
        <v>€/h</v>
      </c>
      <c r="AB64" s="211"/>
      <c r="AC64" s="2" t="str">
        <f t="shared" si="27"/>
        <v>€/h de tracteur</v>
      </c>
    </row>
    <row r="65" spans="1:29" x14ac:dyDescent="0.25">
      <c r="A65" s="219"/>
      <c r="B65" s="89">
        <v>9</v>
      </c>
      <c r="C65" s="15" t="e">
        <f t="shared" si="15"/>
        <v>#DIV/0!</v>
      </c>
      <c r="D65" s="14" t="str">
        <f t="shared" si="28"/>
        <v>€</v>
      </c>
      <c r="E65" s="18">
        <f t="shared" si="13"/>
        <v>0</v>
      </c>
      <c r="F65" s="16" t="str">
        <f t="shared" si="16"/>
        <v>€</v>
      </c>
      <c r="G65" s="18">
        <f t="shared" si="14"/>
        <v>0</v>
      </c>
      <c r="H65" s="16" t="str">
        <f t="shared" si="17"/>
        <v>€</v>
      </c>
      <c r="I65" s="18" t="e">
        <f t="shared" si="18"/>
        <v>#DIV/0!</v>
      </c>
      <c r="J65" s="16" t="str">
        <f t="shared" si="19"/>
        <v>€</v>
      </c>
      <c r="K65" s="18" t="e">
        <f t="shared" si="20"/>
        <v>#DIV/0!</v>
      </c>
      <c r="L65" s="16" t="str">
        <f t="shared" si="21"/>
        <v>€</v>
      </c>
      <c r="M65" s="18">
        <v>400</v>
      </c>
      <c r="N65" s="16" t="str">
        <f t="shared" si="22"/>
        <v>€</v>
      </c>
      <c r="O65" s="18">
        <v>0</v>
      </c>
      <c r="P65" s="16" t="str">
        <f t="shared" si="23"/>
        <v>€</v>
      </c>
      <c r="R65" s="211"/>
      <c r="S65" s="2" t="s">
        <v>53</v>
      </c>
      <c r="T65" s="210"/>
      <c r="U65" s="56" t="str">
        <f t="shared" si="24"/>
        <v>€/Kwatt</v>
      </c>
      <c r="V65" s="211"/>
      <c r="W65" s="2" t="str">
        <f t="shared" si="25"/>
        <v>€/m3</v>
      </c>
      <c r="X65" s="211"/>
      <c r="Y65" s="2" t="s">
        <v>55</v>
      </c>
      <c r="Z65" s="211"/>
      <c r="AA65" s="2" t="str">
        <f t="shared" si="26"/>
        <v>€/h</v>
      </c>
      <c r="AB65" s="211"/>
      <c r="AC65" s="2" t="str">
        <f t="shared" si="27"/>
        <v>€/h de tracteur</v>
      </c>
    </row>
    <row r="66" spans="1:29" ht="15.75" thickBot="1" x14ac:dyDescent="0.3">
      <c r="A66" s="219"/>
      <c r="B66" s="89">
        <v>10</v>
      </c>
      <c r="C66" s="15" t="e">
        <f t="shared" si="15"/>
        <v>#DIV/0!</v>
      </c>
      <c r="D66" s="14" t="str">
        <f t="shared" si="28"/>
        <v>€</v>
      </c>
      <c r="E66" s="18">
        <f t="shared" si="13"/>
        <v>0</v>
      </c>
      <c r="F66" s="16" t="str">
        <f t="shared" si="16"/>
        <v>€</v>
      </c>
      <c r="G66" s="18">
        <f t="shared" si="14"/>
        <v>0</v>
      </c>
      <c r="H66" s="16" t="str">
        <f t="shared" si="17"/>
        <v>€</v>
      </c>
      <c r="I66" s="18" t="e">
        <f t="shared" si="18"/>
        <v>#DIV/0!</v>
      </c>
      <c r="J66" s="16" t="str">
        <f t="shared" si="19"/>
        <v>€</v>
      </c>
      <c r="K66" s="18" t="e">
        <f t="shared" si="20"/>
        <v>#DIV/0!</v>
      </c>
      <c r="L66" s="16" t="str">
        <f t="shared" si="21"/>
        <v>€</v>
      </c>
      <c r="M66" s="18">
        <v>400</v>
      </c>
      <c r="N66" s="16" t="str">
        <f t="shared" si="22"/>
        <v>€</v>
      </c>
      <c r="O66" s="18">
        <v>0</v>
      </c>
      <c r="P66" s="16" t="str">
        <f t="shared" si="23"/>
        <v>€</v>
      </c>
      <c r="R66" s="211"/>
      <c r="S66" s="2" t="s">
        <v>53</v>
      </c>
      <c r="T66" s="210"/>
      <c r="U66" s="56" t="str">
        <f t="shared" si="24"/>
        <v>€/Kwatt</v>
      </c>
      <c r="V66" s="211"/>
      <c r="W66" s="2" t="str">
        <f t="shared" si="25"/>
        <v>€/m3</v>
      </c>
      <c r="X66" s="211"/>
      <c r="Y66" s="2" t="s">
        <v>55</v>
      </c>
      <c r="Z66" s="211"/>
      <c r="AA66" s="2" t="str">
        <f t="shared" si="26"/>
        <v>€/h</v>
      </c>
      <c r="AB66" s="211"/>
      <c r="AC66" s="2" t="str">
        <f t="shared" si="27"/>
        <v>€/h de tracteur</v>
      </c>
    </row>
    <row r="67" spans="1:29" x14ac:dyDescent="0.25">
      <c r="A67" s="219"/>
      <c r="B67" s="46" t="s">
        <v>31</v>
      </c>
      <c r="C67" s="69" t="e">
        <f>AVERAGE(C57:C66)</f>
        <v>#DIV/0!</v>
      </c>
      <c r="D67" s="47" t="str">
        <f>D66&amp;"/an"</f>
        <v>€/an</v>
      </c>
      <c r="E67" s="69">
        <f>AVERAGE(E57:E66)</f>
        <v>0</v>
      </c>
      <c r="F67" s="47" t="str">
        <f>D67</f>
        <v>€/an</v>
      </c>
      <c r="G67" s="37">
        <f>AVERAGE(G57:G66)</f>
        <v>0</v>
      </c>
      <c r="H67" s="47" t="str">
        <f>F67</f>
        <v>€/an</v>
      </c>
      <c r="I67" s="37" t="e">
        <f>AVERAGE(I57:I66)</f>
        <v>#DIV/0!</v>
      </c>
      <c r="J67" s="47" t="str">
        <f t="shared" si="19"/>
        <v>€/an</v>
      </c>
      <c r="K67" s="37" t="e">
        <f>AVERAGE(K57:K66)</f>
        <v>#DIV/0!</v>
      </c>
      <c r="L67" s="47" t="str">
        <f t="shared" si="21"/>
        <v>€/an</v>
      </c>
      <c r="M67" s="70">
        <f>AVERAGE(M57:M66)</f>
        <v>400</v>
      </c>
      <c r="N67" s="47" t="str">
        <f t="shared" si="22"/>
        <v>€/an</v>
      </c>
      <c r="O67" s="37">
        <f>AVERAGE(O57:O66)</f>
        <v>0</v>
      </c>
      <c r="P67" s="47" t="str">
        <f t="shared" si="23"/>
        <v>€/an</v>
      </c>
      <c r="S67" s="56"/>
      <c r="T67" s="91" t="e">
        <f>AVERAGE(T57:T66)</f>
        <v>#DIV/0!</v>
      </c>
      <c r="U67" s="56" t="str">
        <f>P57&amp;"/Kwatt"&amp;"/an"</f>
        <v>€/Kwatt/an</v>
      </c>
      <c r="V67" s="91" t="e">
        <f>AVERAGE(V57:V66)</f>
        <v>#DIV/0!</v>
      </c>
      <c r="W67" s="2" t="str">
        <f>W66&amp;"/an"</f>
        <v>€/m3/an</v>
      </c>
      <c r="Z67" s="3" t="e">
        <f>AVERAGE(Z57:Z66)</f>
        <v>#DIV/0!</v>
      </c>
      <c r="AA67" s="2" t="str">
        <f>AA66&amp;"/an"</f>
        <v>€/h/an</v>
      </c>
      <c r="AB67" s="3"/>
      <c r="AC67" s="2" t="str">
        <f>AC66&amp;"/an"</f>
        <v>€/h de tracteur/an</v>
      </c>
    </row>
    <row r="68" spans="1:29" ht="15.75" thickBot="1" x14ac:dyDescent="0.3">
      <c r="A68" s="220"/>
      <c r="B68" s="25" t="s">
        <v>32</v>
      </c>
      <c r="C68" s="28" t="e">
        <f>SUM(C57:C66)</f>
        <v>#DIV/0!</v>
      </c>
      <c r="D68" s="31" t="str">
        <f>D66</f>
        <v>€</v>
      </c>
      <c r="E68" s="28">
        <f>SUM(E57:E66)</f>
        <v>0</v>
      </c>
      <c r="F68" s="31" t="str">
        <f>D68</f>
        <v>€</v>
      </c>
      <c r="G68" s="42">
        <f>SUM(G57:G66)</f>
        <v>0</v>
      </c>
      <c r="H68" s="67" t="str">
        <f>F68</f>
        <v>€</v>
      </c>
      <c r="I68" s="42" t="e">
        <f>SUM(I57:I66)</f>
        <v>#DIV/0!</v>
      </c>
      <c r="J68" s="67" t="str">
        <f t="shared" si="19"/>
        <v>€</v>
      </c>
      <c r="K68" s="64" t="e">
        <f>SUM(K57:K66)</f>
        <v>#DIV/0!</v>
      </c>
      <c r="L68" s="31" t="str">
        <f t="shared" si="21"/>
        <v>€</v>
      </c>
      <c r="M68" s="64">
        <f>SUM(M57:M66)</f>
        <v>4000</v>
      </c>
      <c r="N68" s="31" t="str">
        <f t="shared" si="22"/>
        <v>€</v>
      </c>
      <c r="O68" s="42">
        <f>SUM(O57:O66)</f>
        <v>0</v>
      </c>
      <c r="P68" s="31" t="str">
        <f t="shared" si="23"/>
        <v>€</v>
      </c>
    </row>
    <row r="69" spans="1:29" ht="15.75" thickBot="1" x14ac:dyDescent="0.3">
      <c r="B69" s="7"/>
      <c r="C69" s="7"/>
      <c r="D69" s="35"/>
      <c r="E69" s="35"/>
      <c r="H69" s="35"/>
      <c r="J69" s="56"/>
      <c r="K69" s="56"/>
    </row>
    <row r="70" spans="1:29" x14ac:dyDescent="0.25">
      <c r="A70" s="218" t="s">
        <v>71</v>
      </c>
      <c r="B70" s="71" t="s">
        <v>44</v>
      </c>
      <c r="C70" s="72" t="s">
        <v>41</v>
      </c>
      <c r="D70" s="73"/>
      <c r="E70" s="47"/>
      <c r="H70" s="35"/>
      <c r="J70" s="56"/>
      <c r="K70" s="56"/>
    </row>
    <row r="71" spans="1:29" x14ac:dyDescent="0.25">
      <c r="A71" s="219"/>
      <c r="B71" s="18" t="s">
        <v>0</v>
      </c>
      <c r="C71" s="35" t="s">
        <v>52</v>
      </c>
      <c r="D71" s="40">
        <f>E67</f>
        <v>0</v>
      </c>
      <c r="E71" s="16" t="str">
        <f>F67</f>
        <v>€/an</v>
      </c>
      <c r="H71" s="35"/>
      <c r="J71" s="56"/>
      <c r="K71" s="56"/>
    </row>
    <row r="72" spans="1:29" x14ac:dyDescent="0.25">
      <c r="A72" s="219"/>
      <c r="B72" s="18" t="s">
        <v>51</v>
      </c>
      <c r="C72" s="35" t="s">
        <v>47</v>
      </c>
      <c r="D72" s="40">
        <f>G67</f>
        <v>0</v>
      </c>
      <c r="E72" s="16" t="str">
        <f>E71</f>
        <v>€/an</v>
      </c>
      <c r="H72" s="35"/>
      <c r="J72" s="56"/>
      <c r="K72" s="56"/>
    </row>
    <row r="73" spans="1:29" x14ac:dyDescent="0.25">
      <c r="A73" s="219"/>
      <c r="B73" s="18" t="s">
        <v>8</v>
      </c>
      <c r="C73" s="56" t="s">
        <v>48</v>
      </c>
      <c r="D73" s="40" t="e">
        <f>I67</f>
        <v>#DIV/0!</v>
      </c>
      <c r="E73" s="16" t="str">
        <f t="shared" ref="E73:E75" si="29">E72</f>
        <v>€/an</v>
      </c>
      <c r="H73" s="35"/>
      <c r="J73" s="56"/>
      <c r="K73" s="56"/>
    </row>
    <row r="74" spans="1:29" x14ac:dyDescent="0.25">
      <c r="A74" s="219"/>
      <c r="B74" s="18" t="s">
        <v>82</v>
      </c>
      <c r="C74" s="56" t="s">
        <v>49</v>
      </c>
      <c r="D74" s="40" t="e">
        <f>K67</f>
        <v>#DIV/0!</v>
      </c>
      <c r="E74" s="16" t="str">
        <f t="shared" si="29"/>
        <v>€/an</v>
      </c>
      <c r="H74" s="35"/>
      <c r="J74" s="56"/>
      <c r="K74" s="56"/>
    </row>
    <row r="75" spans="1:29" x14ac:dyDescent="0.25">
      <c r="A75" s="219"/>
      <c r="B75" s="18" t="s">
        <v>14</v>
      </c>
      <c r="C75" s="56" t="s">
        <v>50</v>
      </c>
      <c r="D75" s="40">
        <f>M67</f>
        <v>400</v>
      </c>
      <c r="E75" s="16" t="str">
        <f t="shared" si="29"/>
        <v>€/an</v>
      </c>
      <c r="H75" s="35"/>
      <c r="J75" s="56"/>
      <c r="K75" s="56"/>
    </row>
    <row r="76" spans="1:29" ht="15.75" thickBot="1" x14ac:dyDescent="0.3">
      <c r="A76" s="219"/>
      <c r="B76" s="18" t="s">
        <v>33</v>
      </c>
      <c r="C76" s="35"/>
      <c r="D76" s="40">
        <v>0</v>
      </c>
      <c r="E76" s="16" t="str">
        <f>E75</f>
        <v>€/an</v>
      </c>
      <c r="F76" s="56"/>
      <c r="G76" s="35"/>
    </row>
    <row r="77" spans="1:29" ht="15.75" thickBot="1" x14ac:dyDescent="0.3">
      <c r="A77" s="219"/>
      <c r="B77" s="74" t="s">
        <v>15</v>
      </c>
      <c r="C77" s="75"/>
      <c r="D77" s="75" t="e">
        <f>SUM(D71:D76)</f>
        <v>#DIV/0!</v>
      </c>
      <c r="E77" s="76" t="str">
        <f>E75</f>
        <v>€/an</v>
      </c>
      <c r="F77" s="56"/>
      <c r="G77" s="35"/>
    </row>
    <row r="78" spans="1:29" ht="15.75" thickBot="1" x14ac:dyDescent="0.3">
      <c r="A78" s="220"/>
      <c r="B78" s="77" t="s">
        <v>16</v>
      </c>
      <c r="C78" s="78"/>
      <c r="D78" s="62" t="e">
        <f>D77/$C$4</f>
        <v>#DIV/0!</v>
      </c>
      <c r="E78" s="79" t="str">
        <f>E75&amp;"/ha"</f>
        <v>€/an/ha</v>
      </c>
      <c r="F78" s="35"/>
    </row>
    <row r="79" spans="1:29" x14ac:dyDescent="0.25">
      <c r="B79" s="56"/>
      <c r="C79" s="56"/>
      <c r="D79" s="35"/>
      <c r="E79" s="56"/>
      <c r="F79" s="35"/>
    </row>
    <row r="80" spans="1:29" ht="15.75" thickBot="1" x14ac:dyDescent="0.3">
      <c r="B80" s="56"/>
      <c r="C80" s="56"/>
      <c r="D80" s="35"/>
      <c r="E80" s="56"/>
      <c r="F80" s="35"/>
    </row>
    <row r="81" spans="1:14" ht="15" customHeight="1" thickBot="1" x14ac:dyDescent="0.3">
      <c r="A81" s="218" t="s">
        <v>129</v>
      </c>
      <c r="B81" s="19" t="s">
        <v>128</v>
      </c>
      <c r="C81" s="216" t="s">
        <v>130</v>
      </c>
      <c r="D81" s="217"/>
      <c r="E81" s="226" t="s">
        <v>136</v>
      </c>
      <c r="F81" s="227"/>
      <c r="G81" s="216" t="s">
        <v>64</v>
      </c>
      <c r="H81" s="217"/>
      <c r="I81" s="216" t="s">
        <v>125</v>
      </c>
      <c r="J81" s="217"/>
      <c r="K81" s="216" t="s">
        <v>126</v>
      </c>
      <c r="L81" s="217"/>
      <c r="M81" s="215" t="s">
        <v>115</v>
      </c>
      <c r="N81" s="214"/>
    </row>
    <row r="82" spans="1:14" x14ac:dyDescent="0.25">
      <c r="A82" s="219"/>
      <c r="B82" s="89">
        <v>1</v>
      </c>
      <c r="C82" s="18" t="e">
        <f>(E82+G82)-I82-K82-M82</f>
        <v>#DIV/0!</v>
      </c>
      <c r="D82" s="16" t="str">
        <f>D68</f>
        <v>€</v>
      </c>
      <c r="E82" s="18">
        <f t="shared" ref="E82:E91" si="30">M9</f>
        <v>0</v>
      </c>
      <c r="F82" s="16" t="str">
        <f>D82</f>
        <v>€</v>
      </c>
      <c r="G82" s="18">
        <v>0</v>
      </c>
      <c r="H82" s="16" t="str">
        <f>F82</f>
        <v>€</v>
      </c>
      <c r="I82" s="18">
        <f>$D$52</f>
        <v>0</v>
      </c>
      <c r="J82" s="16" t="str">
        <f>H82</f>
        <v>€</v>
      </c>
      <c r="K82" s="18" t="e">
        <f>C57</f>
        <v>#DIV/0!</v>
      </c>
      <c r="L82" s="16" t="str">
        <f>J82</f>
        <v>€</v>
      </c>
      <c r="M82" s="2">
        <f>Q9</f>
        <v>0</v>
      </c>
      <c r="N82" s="47" t="str">
        <f>L82</f>
        <v>€</v>
      </c>
    </row>
    <row r="83" spans="1:14" x14ac:dyDescent="0.25">
      <c r="A83" s="219"/>
      <c r="B83" s="89">
        <v>2</v>
      </c>
      <c r="C83" s="18" t="e">
        <f t="shared" ref="C83:C90" si="31">(E83+G83)-I83-K83-M83</f>
        <v>#DIV/0!</v>
      </c>
      <c r="D83" s="16" t="str">
        <f>D82</f>
        <v>€</v>
      </c>
      <c r="E83" s="18">
        <f t="shared" si="30"/>
        <v>0</v>
      </c>
      <c r="F83" s="16" t="str">
        <f t="shared" ref="F83:H94" si="32">D83</f>
        <v>€</v>
      </c>
      <c r="G83" s="18">
        <f t="shared" ref="G83:G91" si="33">O10</f>
        <v>0</v>
      </c>
      <c r="H83" s="16" t="str">
        <f t="shared" si="32"/>
        <v>€</v>
      </c>
      <c r="I83" s="18">
        <f t="shared" ref="I83:I91" si="34">$D$52</f>
        <v>0</v>
      </c>
      <c r="J83" s="16" t="str">
        <f t="shared" ref="J83:L94" si="35">H83</f>
        <v>€</v>
      </c>
      <c r="K83" s="18" t="e">
        <f>C58</f>
        <v>#DIV/0!</v>
      </c>
      <c r="L83" s="16" t="str">
        <f t="shared" si="35"/>
        <v>€</v>
      </c>
      <c r="M83" s="2">
        <f>Q10</f>
        <v>0</v>
      </c>
      <c r="N83" s="16" t="str">
        <f>N82</f>
        <v>€</v>
      </c>
    </row>
    <row r="84" spans="1:14" x14ac:dyDescent="0.25">
      <c r="A84" s="219"/>
      <c r="B84" s="89">
        <v>3</v>
      </c>
      <c r="C84" s="18" t="e">
        <f t="shared" si="31"/>
        <v>#DIV/0!</v>
      </c>
      <c r="D84" s="16" t="str">
        <f t="shared" ref="D84:D92" si="36">D83</f>
        <v>€</v>
      </c>
      <c r="E84" s="18">
        <f t="shared" si="30"/>
        <v>0</v>
      </c>
      <c r="F84" s="16" t="str">
        <f t="shared" si="32"/>
        <v>€</v>
      </c>
      <c r="G84" s="18">
        <f t="shared" si="33"/>
        <v>0</v>
      </c>
      <c r="H84" s="16" t="str">
        <f t="shared" si="32"/>
        <v>€</v>
      </c>
      <c r="I84" s="18">
        <f t="shared" si="34"/>
        <v>0</v>
      </c>
      <c r="J84" s="16" t="str">
        <f t="shared" si="35"/>
        <v>€</v>
      </c>
      <c r="K84" s="18" t="e">
        <f>C59</f>
        <v>#DIV/0!</v>
      </c>
      <c r="L84" s="16" t="str">
        <f t="shared" si="35"/>
        <v>€</v>
      </c>
      <c r="M84" s="2">
        <f t="shared" ref="M84:M91" si="37">Q11</f>
        <v>0</v>
      </c>
      <c r="N84" s="16" t="str">
        <f t="shared" ref="N84:N91" si="38">N83</f>
        <v>€</v>
      </c>
    </row>
    <row r="85" spans="1:14" x14ac:dyDescent="0.25">
      <c r="A85" s="219"/>
      <c r="B85" s="89">
        <v>4</v>
      </c>
      <c r="C85" s="18" t="e">
        <f t="shared" si="31"/>
        <v>#DIV/0!</v>
      </c>
      <c r="D85" s="16" t="str">
        <f t="shared" si="36"/>
        <v>€</v>
      </c>
      <c r="E85" s="18">
        <f t="shared" si="30"/>
        <v>0</v>
      </c>
      <c r="F85" s="16" t="str">
        <f t="shared" si="32"/>
        <v>€</v>
      </c>
      <c r="G85" s="18">
        <f t="shared" si="33"/>
        <v>0</v>
      </c>
      <c r="H85" s="16" t="str">
        <f t="shared" si="32"/>
        <v>€</v>
      </c>
      <c r="I85" s="18">
        <f t="shared" si="34"/>
        <v>0</v>
      </c>
      <c r="J85" s="16" t="str">
        <f t="shared" si="35"/>
        <v>€</v>
      </c>
      <c r="K85" s="18" t="e">
        <f t="shared" ref="K85:K91" si="39">C60</f>
        <v>#DIV/0!</v>
      </c>
      <c r="L85" s="16" t="str">
        <f t="shared" si="35"/>
        <v>€</v>
      </c>
      <c r="M85" s="2">
        <f t="shared" si="37"/>
        <v>0</v>
      </c>
      <c r="N85" s="16" t="str">
        <f t="shared" si="38"/>
        <v>€</v>
      </c>
    </row>
    <row r="86" spans="1:14" x14ac:dyDescent="0.25">
      <c r="A86" s="219"/>
      <c r="B86" s="89">
        <v>5</v>
      </c>
      <c r="C86" s="18" t="e">
        <f t="shared" si="31"/>
        <v>#DIV/0!</v>
      </c>
      <c r="D86" s="16" t="str">
        <f t="shared" si="36"/>
        <v>€</v>
      </c>
      <c r="E86" s="18">
        <f t="shared" si="30"/>
        <v>0</v>
      </c>
      <c r="F86" s="16" t="str">
        <f t="shared" si="32"/>
        <v>€</v>
      </c>
      <c r="G86" s="18">
        <f t="shared" si="33"/>
        <v>0</v>
      </c>
      <c r="H86" s="16" t="str">
        <f t="shared" si="32"/>
        <v>€</v>
      </c>
      <c r="I86" s="18">
        <f t="shared" si="34"/>
        <v>0</v>
      </c>
      <c r="J86" s="16" t="str">
        <f t="shared" si="35"/>
        <v>€</v>
      </c>
      <c r="K86" s="18" t="e">
        <f t="shared" si="39"/>
        <v>#DIV/0!</v>
      </c>
      <c r="L86" s="16" t="str">
        <f t="shared" si="35"/>
        <v>€</v>
      </c>
      <c r="M86" s="2">
        <f t="shared" si="37"/>
        <v>0</v>
      </c>
      <c r="N86" s="16" t="str">
        <f t="shared" si="38"/>
        <v>€</v>
      </c>
    </row>
    <row r="87" spans="1:14" x14ac:dyDescent="0.25">
      <c r="A87" s="219"/>
      <c r="B87" s="89">
        <v>6</v>
      </c>
      <c r="C87" s="18" t="e">
        <f t="shared" si="31"/>
        <v>#DIV/0!</v>
      </c>
      <c r="D87" s="16" t="str">
        <f t="shared" si="36"/>
        <v>€</v>
      </c>
      <c r="E87" s="18">
        <f t="shared" si="30"/>
        <v>0</v>
      </c>
      <c r="F87" s="16" t="str">
        <f t="shared" si="32"/>
        <v>€</v>
      </c>
      <c r="G87" s="18">
        <f t="shared" si="33"/>
        <v>0</v>
      </c>
      <c r="H87" s="16" t="str">
        <f t="shared" si="32"/>
        <v>€</v>
      </c>
      <c r="I87" s="18">
        <f t="shared" si="34"/>
        <v>0</v>
      </c>
      <c r="J87" s="16" t="str">
        <f t="shared" si="35"/>
        <v>€</v>
      </c>
      <c r="K87" s="18" t="e">
        <f t="shared" si="39"/>
        <v>#DIV/0!</v>
      </c>
      <c r="L87" s="16" t="str">
        <f t="shared" si="35"/>
        <v>€</v>
      </c>
      <c r="M87" s="2">
        <f t="shared" si="37"/>
        <v>0</v>
      </c>
      <c r="N87" s="16" t="str">
        <f t="shared" si="38"/>
        <v>€</v>
      </c>
    </row>
    <row r="88" spans="1:14" x14ac:dyDescent="0.25">
      <c r="A88" s="219"/>
      <c r="B88" s="89">
        <v>7</v>
      </c>
      <c r="C88" s="18" t="e">
        <f t="shared" si="31"/>
        <v>#DIV/0!</v>
      </c>
      <c r="D88" s="16" t="str">
        <f t="shared" si="36"/>
        <v>€</v>
      </c>
      <c r="E88" s="18">
        <f t="shared" si="30"/>
        <v>0</v>
      </c>
      <c r="F88" s="16" t="str">
        <f t="shared" si="32"/>
        <v>€</v>
      </c>
      <c r="G88" s="18">
        <f t="shared" si="33"/>
        <v>0</v>
      </c>
      <c r="H88" s="16" t="str">
        <f t="shared" si="32"/>
        <v>€</v>
      </c>
      <c r="I88" s="18">
        <f t="shared" si="34"/>
        <v>0</v>
      </c>
      <c r="J88" s="16" t="str">
        <f t="shared" si="35"/>
        <v>€</v>
      </c>
      <c r="K88" s="18" t="e">
        <f t="shared" si="39"/>
        <v>#DIV/0!</v>
      </c>
      <c r="L88" s="16" t="str">
        <f t="shared" si="35"/>
        <v>€</v>
      </c>
      <c r="M88" s="2">
        <f t="shared" si="37"/>
        <v>0</v>
      </c>
      <c r="N88" s="16" t="str">
        <f t="shared" si="38"/>
        <v>€</v>
      </c>
    </row>
    <row r="89" spans="1:14" x14ac:dyDescent="0.25">
      <c r="A89" s="219"/>
      <c r="B89" s="89">
        <v>8</v>
      </c>
      <c r="C89" s="18" t="e">
        <f t="shared" si="31"/>
        <v>#DIV/0!</v>
      </c>
      <c r="D89" s="16" t="str">
        <f t="shared" si="36"/>
        <v>€</v>
      </c>
      <c r="E89" s="18">
        <f t="shared" si="30"/>
        <v>0</v>
      </c>
      <c r="F89" s="16" t="str">
        <f t="shared" si="32"/>
        <v>€</v>
      </c>
      <c r="G89" s="18">
        <f t="shared" si="33"/>
        <v>0</v>
      </c>
      <c r="H89" s="16" t="str">
        <f t="shared" si="32"/>
        <v>€</v>
      </c>
      <c r="I89" s="18">
        <f t="shared" si="34"/>
        <v>0</v>
      </c>
      <c r="J89" s="16" t="str">
        <f t="shared" si="35"/>
        <v>€</v>
      </c>
      <c r="K89" s="18" t="e">
        <f t="shared" si="39"/>
        <v>#DIV/0!</v>
      </c>
      <c r="L89" s="16" t="str">
        <f t="shared" si="35"/>
        <v>€</v>
      </c>
      <c r="M89" s="2">
        <f t="shared" si="37"/>
        <v>0</v>
      </c>
      <c r="N89" s="16" t="str">
        <f t="shared" si="38"/>
        <v>€</v>
      </c>
    </row>
    <row r="90" spans="1:14" x14ac:dyDescent="0.25">
      <c r="A90" s="219"/>
      <c r="B90" s="89">
        <v>9</v>
      </c>
      <c r="C90" s="18" t="e">
        <f t="shared" si="31"/>
        <v>#DIV/0!</v>
      </c>
      <c r="D90" s="16" t="str">
        <f t="shared" si="36"/>
        <v>€</v>
      </c>
      <c r="E90" s="18">
        <f t="shared" si="30"/>
        <v>0</v>
      </c>
      <c r="F90" s="16" t="str">
        <f t="shared" si="32"/>
        <v>€</v>
      </c>
      <c r="G90" s="18">
        <f t="shared" si="33"/>
        <v>0</v>
      </c>
      <c r="H90" s="16" t="str">
        <f t="shared" si="32"/>
        <v>€</v>
      </c>
      <c r="I90" s="18">
        <f t="shared" si="34"/>
        <v>0</v>
      </c>
      <c r="J90" s="16" t="str">
        <f t="shared" si="35"/>
        <v>€</v>
      </c>
      <c r="K90" s="18" t="e">
        <f t="shared" si="39"/>
        <v>#DIV/0!</v>
      </c>
      <c r="L90" s="16" t="str">
        <f t="shared" si="35"/>
        <v>€</v>
      </c>
      <c r="M90" s="2">
        <f t="shared" si="37"/>
        <v>0</v>
      </c>
      <c r="N90" s="16" t="str">
        <f t="shared" si="38"/>
        <v>€</v>
      </c>
    </row>
    <row r="91" spans="1:14" ht="15.75" thickBot="1" x14ac:dyDescent="0.3">
      <c r="A91" s="219"/>
      <c r="B91" s="89">
        <v>10</v>
      </c>
      <c r="C91" s="18" t="e">
        <f t="shared" ref="C91" si="40">(E91+G91)-I91-K91</f>
        <v>#DIV/0!</v>
      </c>
      <c r="D91" s="14" t="str">
        <f t="shared" si="36"/>
        <v>€</v>
      </c>
      <c r="E91" s="18">
        <f t="shared" si="30"/>
        <v>0</v>
      </c>
      <c r="F91" s="16" t="str">
        <f t="shared" si="32"/>
        <v>€</v>
      </c>
      <c r="G91" s="18">
        <f t="shared" si="33"/>
        <v>0</v>
      </c>
      <c r="H91" s="16" t="str">
        <f t="shared" si="32"/>
        <v>€</v>
      </c>
      <c r="I91" s="18">
        <f t="shared" si="34"/>
        <v>0</v>
      </c>
      <c r="J91" s="16" t="str">
        <f t="shared" si="35"/>
        <v>€</v>
      </c>
      <c r="K91" s="18" t="e">
        <f t="shared" si="39"/>
        <v>#DIV/0!</v>
      </c>
      <c r="L91" s="16" t="str">
        <f t="shared" si="35"/>
        <v>€</v>
      </c>
      <c r="M91" s="2">
        <f t="shared" si="37"/>
        <v>0</v>
      </c>
      <c r="N91" s="16" t="str">
        <f t="shared" si="38"/>
        <v>€</v>
      </c>
    </row>
    <row r="92" spans="1:14" x14ac:dyDescent="0.25">
      <c r="A92" s="219"/>
      <c r="B92" s="80" t="s">
        <v>32</v>
      </c>
      <c r="C92" s="69" t="e">
        <f>SUM(C82:C91)</f>
        <v>#DIV/0!</v>
      </c>
      <c r="D92" s="81" t="str">
        <f t="shared" si="36"/>
        <v>€</v>
      </c>
      <c r="E92" s="69">
        <f t="shared" ref="E92:K92" si="41">SUM(E82:E91)</f>
        <v>0</v>
      </c>
      <c r="F92" s="81" t="str">
        <f t="shared" si="32"/>
        <v>€</v>
      </c>
      <c r="G92" s="69">
        <f t="shared" si="41"/>
        <v>0</v>
      </c>
      <c r="H92" s="81" t="str">
        <f t="shared" si="32"/>
        <v>€</v>
      </c>
      <c r="I92" s="69">
        <f>SUM(I82:I91)</f>
        <v>0</v>
      </c>
      <c r="J92" s="81" t="str">
        <f t="shared" si="35"/>
        <v>€</v>
      </c>
      <c r="K92" s="69" t="e">
        <f t="shared" si="41"/>
        <v>#DIV/0!</v>
      </c>
      <c r="L92" s="81" t="str">
        <f t="shared" si="35"/>
        <v>€</v>
      </c>
      <c r="M92" s="37">
        <f>SUM(M82:M91)</f>
        <v>0</v>
      </c>
      <c r="N92" s="47" t="str">
        <f>L92</f>
        <v>€</v>
      </c>
    </row>
    <row r="93" spans="1:14" x14ac:dyDescent="0.25">
      <c r="A93" s="219"/>
      <c r="B93" s="82" t="s">
        <v>31</v>
      </c>
      <c r="C93" s="15" t="e">
        <f>AVERAGE(C82:C91)</f>
        <v>#DIV/0!</v>
      </c>
      <c r="D93" s="14" t="str">
        <f>D92&amp;"/an"</f>
        <v>€/an</v>
      </c>
      <c r="E93" s="15">
        <f t="shared" ref="E93:K93" si="42">AVERAGE(E82:E91)</f>
        <v>0</v>
      </c>
      <c r="F93" s="14" t="str">
        <f t="shared" si="32"/>
        <v>€/an</v>
      </c>
      <c r="G93" s="15">
        <f>AVERAGE(G82:G92)</f>
        <v>0</v>
      </c>
      <c r="H93" s="14" t="str">
        <f t="shared" si="32"/>
        <v>€/an</v>
      </c>
      <c r="I93" s="15">
        <f>AVERAGE(I82:I91)</f>
        <v>0</v>
      </c>
      <c r="J93" s="14" t="str">
        <f t="shared" si="35"/>
        <v>€/an</v>
      </c>
      <c r="K93" s="15" t="e">
        <f t="shared" si="42"/>
        <v>#DIV/0!</v>
      </c>
      <c r="L93" s="14" t="str">
        <f t="shared" si="35"/>
        <v>€/an</v>
      </c>
      <c r="M93" s="197">
        <f>AVERAGE(M82:M91)</f>
        <v>0</v>
      </c>
      <c r="N93" s="14" t="str">
        <f>L93</f>
        <v>€/an</v>
      </c>
    </row>
    <row r="94" spans="1:14" ht="15.75" thickBot="1" x14ac:dyDescent="0.3">
      <c r="A94" s="220"/>
      <c r="B94" s="83" t="s">
        <v>74</v>
      </c>
      <c r="C94" s="28" t="e">
        <f>C93/C4</f>
        <v>#DIV/0!</v>
      </c>
      <c r="D94" s="29" t="str">
        <f>D93&amp;"/ha"</f>
        <v>€/an/ha</v>
      </c>
      <c r="E94" s="28" t="e">
        <f>E93/$C$4</f>
        <v>#DIV/0!</v>
      </c>
      <c r="F94" s="29" t="str">
        <f t="shared" si="32"/>
        <v>€/an/ha</v>
      </c>
      <c r="G94" s="28" t="e">
        <f>G93/C4</f>
        <v>#DIV/0!</v>
      </c>
      <c r="H94" s="29" t="str">
        <f t="shared" si="32"/>
        <v>€/an/ha</v>
      </c>
      <c r="I94" s="28" t="e">
        <f>I93/$C$4</f>
        <v>#DIV/0!</v>
      </c>
      <c r="J94" s="29" t="str">
        <f t="shared" si="35"/>
        <v>€/an/ha</v>
      </c>
      <c r="K94" s="28" t="e">
        <f>K93/C4</f>
        <v>#DIV/0!</v>
      </c>
      <c r="L94" s="29" t="str">
        <f t="shared" si="35"/>
        <v>€/an/ha</v>
      </c>
      <c r="M94" s="42" t="e">
        <f>M93/C4</f>
        <v>#DIV/0!</v>
      </c>
      <c r="N94" s="31" t="str">
        <f>L94</f>
        <v>€/an/ha</v>
      </c>
    </row>
    <row r="95" spans="1:14" ht="15.75" thickBot="1" x14ac:dyDescent="0.3"/>
    <row r="96" spans="1:14" ht="15.75" thickBot="1" x14ac:dyDescent="0.3">
      <c r="A96" s="223" t="s">
        <v>121</v>
      </c>
      <c r="B96" s="19" t="s">
        <v>44</v>
      </c>
      <c r="C96" s="216" t="s">
        <v>87</v>
      </c>
      <c r="D96" s="217"/>
      <c r="E96" s="216" t="s">
        <v>66</v>
      </c>
      <c r="F96" s="217"/>
    </row>
    <row r="97" spans="1:6" x14ac:dyDescent="0.25">
      <c r="A97" s="224"/>
      <c r="B97" s="84" t="s">
        <v>85</v>
      </c>
      <c r="C97" s="17">
        <f>C4</f>
        <v>0</v>
      </c>
      <c r="D97" s="14" t="s">
        <v>86</v>
      </c>
      <c r="E97" s="17">
        <v>1</v>
      </c>
      <c r="F97" s="14" t="s">
        <v>3</v>
      </c>
    </row>
    <row r="98" spans="1:6" x14ac:dyDescent="0.25">
      <c r="A98" s="224"/>
      <c r="B98" s="84" t="s">
        <v>127</v>
      </c>
      <c r="C98" s="18">
        <f>C4*C5*I9</f>
        <v>0</v>
      </c>
      <c r="D98" s="16" t="str">
        <f>D93</f>
        <v>€/an</v>
      </c>
      <c r="E98" s="18" t="e">
        <f>C98/C97</f>
        <v>#DIV/0!</v>
      </c>
      <c r="F98" s="16" t="str">
        <f>D92&amp;"/ha"</f>
        <v>€/ha</v>
      </c>
    </row>
    <row r="99" spans="1:6" x14ac:dyDescent="0.25">
      <c r="A99" s="224"/>
      <c r="B99" s="84" t="s">
        <v>83</v>
      </c>
      <c r="C99" s="18" t="e">
        <f>D19</f>
        <v>#DIV/0!</v>
      </c>
      <c r="D99" s="16" t="s">
        <v>38</v>
      </c>
      <c r="E99" s="18" t="e">
        <f>C99</f>
        <v>#DIV/0!</v>
      </c>
      <c r="F99" s="16" t="s">
        <v>38</v>
      </c>
    </row>
    <row r="100" spans="1:6" x14ac:dyDescent="0.25">
      <c r="A100" s="224"/>
      <c r="B100" s="84" t="s">
        <v>84</v>
      </c>
      <c r="C100" s="18">
        <f>H20</f>
        <v>10</v>
      </c>
      <c r="D100" s="16" t="s">
        <v>20</v>
      </c>
      <c r="E100" s="18"/>
      <c r="F100" s="16"/>
    </row>
    <row r="101" spans="1:6" x14ac:dyDescent="0.25">
      <c r="A101" s="224"/>
      <c r="B101" s="84" t="s">
        <v>133</v>
      </c>
      <c r="C101" s="18">
        <f>K19</f>
        <v>0</v>
      </c>
      <c r="D101" s="16" t="str">
        <f>D98</f>
        <v>€/an</v>
      </c>
      <c r="E101" s="18" t="e">
        <f>C101/C97</f>
        <v>#DIV/0!</v>
      </c>
      <c r="F101" s="16" t="str">
        <f>F98</f>
        <v>€/ha</v>
      </c>
    </row>
    <row r="102" spans="1:6" x14ac:dyDescent="0.25">
      <c r="A102" s="224"/>
      <c r="B102" s="84" t="s">
        <v>75</v>
      </c>
      <c r="C102" s="18">
        <f>C98-C101</f>
        <v>0</v>
      </c>
      <c r="D102" s="16" t="str">
        <f>D101</f>
        <v>€/an</v>
      </c>
      <c r="E102" s="18" t="e">
        <f>C102/C97</f>
        <v>#DIV/0!</v>
      </c>
      <c r="F102" s="16" t="str">
        <f t="shared" ref="F102:F109" si="43">F101</f>
        <v>€/ha</v>
      </c>
    </row>
    <row r="103" spans="1:6" x14ac:dyDescent="0.25">
      <c r="A103" s="224"/>
      <c r="B103" s="84" t="s">
        <v>62</v>
      </c>
      <c r="C103" s="18">
        <v>0</v>
      </c>
      <c r="D103" s="16" t="str">
        <f>D102</f>
        <v>€/an</v>
      </c>
      <c r="E103" s="18" t="e">
        <f>C103/C97</f>
        <v>#DIV/0!</v>
      </c>
      <c r="F103" s="16" t="str">
        <f t="shared" si="43"/>
        <v>€/ha</v>
      </c>
    </row>
    <row r="104" spans="1:6" x14ac:dyDescent="0.25">
      <c r="A104" s="224"/>
      <c r="B104" s="84" t="s">
        <v>36</v>
      </c>
      <c r="C104" s="18" t="e">
        <f>I93+K93</f>
        <v>#DIV/0!</v>
      </c>
      <c r="D104" s="16" t="str">
        <f>D107</f>
        <v>€/an</v>
      </c>
      <c r="E104" s="18" t="e">
        <f>C104/C97</f>
        <v>#DIV/0!</v>
      </c>
      <c r="F104" s="16" t="str">
        <f t="shared" si="43"/>
        <v>€/ha</v>
      </c>
    </row>
    <row r="105" spans="1:6" x14ac:dyDescent="0.25">
      <c r="A105" s="224"/>
      <c r="B105" s="85" t="s">
        <v>132</v>
      </c>
      <c r="C105" s="86">
        <f>I93</f>
        <v>0</v>
      </c>
      <c r="D105" s="87" t="str">
        <f t="shared" ref="D105:D106" si="44">D104</f>
        <v>€/an</v>
      </c>
      <c r="E105" s="86" t="e">
        <f>C105/C97</f>
        <v>#DIV/0!</v>
      </c>
      <c r="F105" s="16" t="str">
        <f>F104</f>
        <v>€/ha</v>
      </c>
    </row>
    <row r="106" spans="1:6" x14ac:dyDescent="0.25">
      <c r="A106" s="224"/>
      <c r="B106" s="85" t="s">
        <v>78</v>
      </c>
      <c r="C106" s="86" t="e">
        <f>K93</f>
        <v>#DIV/0!</v>
      </c>
      <c r="D106" s="87" t="str">
        <f t="shared" si="44"/>
        <v>€/an</v>
      </c>
      <c r="E106" s="86" t="e">
        <f>C106/C97</f>
        <v>#DIV/0!</v>
      </c>
      <c r="F106" s="16" t="str">
        <f>F105</f>
        <v>€/ha</v>
      </c>
    </row>
    <row r="107" spans="1:6" x14ac:dyDescent="0.25">
      <c r="A107" s="224"/>
      <c r="B107" s="84" t="s">
        <v>117</v>
      </c>
      <c r="C107" s="86">
        <f>M93</f>
        <v>0</v>
      </c>
      <c r="D107" s="16" t="str">
        <f>D103</f>
        <v>€/an</v>
      </c>
      <c r="E107" s="86" t="e">
        <f>C107/C97</f>
        <v>#DIV/0!</v>
      </c>
      <c r="F107" s="16" t="str">
        <f>F106</f>
        <v>€/ha</v>
      </c>
    </row>
    <row r="108" spans="1:6" x14ac:dyDescent="0.25">
      <c r="A108" s="224"/>
      <c r="B108" s="84" t="s">
        <v>134</v>
      </c>
      <c r="C108" s="18" t="e">
        <f>C98-C104-C107+C103</f>
        <v>#DIV/0!</v>
      </c>
      <c r="D108" s="16" t="str">
        <f>D104</f>
        <v>€/an</v>
      </c>
      <c r="E108" s="18" t="e">
        <f>C108/C97</f>
        <v>#DIV/0!</v>
      </c>
      <c r="F108" s="16" t="str">
        <f>F104</f>
        <v>€/ha</v>
      </c>
    </row>
    <row r="109" spans="1:6" x14ac:dyDescent="0.25">
      <c r="A109" s="224"/>
      <c r="B109" s="85" t="s">
        <v>79</v>
      </c>
      <c r="C109" s="86" t="e">
        <f>C108-C101+C103</f>
        <v>#DIV/0!</v>
      </c>
      <c r="D109" s="87" t="str">
        <f t="shared" ref="D109" si="45">D108</f>
        <v>€/an</v>
      </c>
      <c r="E109" s="86" t="e">
        <f>C109/C97</f>
        <v>#DIV/0!</v>
      </c>
      <c r="F109" s="87" t="str">
        <f t="shared" si="43"/>
        <v>€/ha</v>
      </c>
    </row>
    <row r="110" spans="1:6" x14ac:dyDescent="0.25">
      <c r="A110" s="224"/>
      <c r="B110" s="84" t="s">
        <v>135</v>
      </c>
      <c r="C110" s="18" t="e">
        <f>C98-K93-C107+C103</f>
        <v>#DIV/0!</v>
      </c>
      <c r="D110" s="16" t="str">
        <f>D109</f>
        <v>€/an</v>
      </c>
      <c r="E110" s="18" t="e">
        <f>C110/C97</f>
        <v>#DIV/0!</v>
      </c>
      <c r="F110" s="16" t="str">
        <f>F109</f>
        <v>€/ha</v>
      </c>
    </row>
    <row r="111" spans="1:6" ht="15.75" thickBot="1" x14ac:dyDescent="0.3">
      <c r="A111" s="225"/>
      <c r="B111" s="85" t="s">
        <v>79</v>
      </c>
      <c r="C111" s="86" t="e">
        <f>C110-C101+C103</f>
        <v>#DIV/0!</v>
      </c>
      <c r="D111" s="16" t="str">
        <f>D109</f>
        <v>€/an</v>
      </c>
      <c r="E111" s="86" t="e">
        <f>C111/C97</f>
        <v>#DIV/0!</v>
      </c>
      <c r="F111" s="16" t="str">
        <f>F110</f>
        <v>€/ha</v>
      </c>
    </row>
    <row r="112" spans="1:6" ht="15.75" thickBot="1" x14ac:dyDescent="0.3">
      <c r="B112" s="84" t="s">
        <v>80</v>
      </c>
      <c r="C112" s="18" t="e">
        <f>D51/C109</f>
        <v>#DIV/0!</v>
      </c>
      <c r="D112" s="16" t="s">
        <v>20</v>
      </c>
      <c r="E112" s="42"/>
      <c r="F112" s="31"/>
    </row>
    <row r="113" spans="2:4" x14ac:dyDescent="0.25">
      <c r="B113" s="127" t="s">
        <v>107</v>
      </c>
      <c r="C113" s="123" t="e">
        <f>C104/E40</f>
        <v>#DIV/0!</v>
      </c>
      <c r="D113" s="124" t="str">
        <f>D92&amp;"/m3"</f>
        <v>€/m3</v>
      </c>
    </row>
    <row r="114" spans="2:4" x14ac:dyDescent="0.25">
      <c r="B114" s="128" t="s">
        <v>118</v>
      </c>
      <c r="C114" s="125" t="e">
        <f>C106/E40</f>
        <v>#DIV/0!</v>
      </c>
      <c r="D114" s="126" t="str">
        <f>D113</f>
        <v>€/m3</v>
      </c>
    </row>
  </sheetData>
  <mergeCells count="33">
    <mergeCell ref="K8:L8"/>
    <mergeCell ref="M8:N8"/>
    <mergeCell ref="O8:P8"/>
    <mergeCell ref="D8:E8"/>
    <mergeCell ref="F8:G8"/>
    <mergeCell ref="G56:H56"/>
    <mergeCell ref="A3:A6"/>
    <mergeCell ref="I8:J8"/>
    <mergeCell ref="C96:D96"/>
    <mergeCell ref="E96:F96"/>
    <mergeCell ref="A96:A111"/>
    <mergeCell ref="E81:F81"/>
    <mergeCell ref="I56:J56"/>
    <mergeCell ref="I81:J81"/>
    <mergeCell ref="A56:A68"/>
    <mergeCell ref="C56:D56"/>
    <mergeCell ref="E56:F56"/>
    <mergeCell ref="Q8:R8"/>
    <mergeCell ref="M81:N81"/>
    <mergeCell ref="G81:H81"/>
    <mergeCell ref="A81:A94"/>
    <mergeCell ref="A70:A78"/>
    <mergeCell ref="C81:D81"/>
    <mergeCell ref="K56:L56"/>
    <mergeCell ref="M56:N56"/>
    <mergeCell ref="O56:P56"/>
    <mergeCell ref="K81:L81"/>
    <mergeCell ref="A23:A26"/>
    <mergeCell ref="C29:D29"/>
    <mergeCell ref="A8:A20"/>
    <mergeCell ref="E29:F29"/>
    <mergeCell ref="A43:A53"/>
    <mergeCell ref="A29:A41"/>
  </mergeCells>
  <phoneticPr fontId="7" type="noConversion"/>
  <dataValidations count="1">
    <dataValidation type="list" allowBlank="1" showInputMessage="1" showErrorMessage="1" sqref="R5:R6 C6" xr:uid="{E562D770-7E3F-4F54-9CE0-A8E7992EC091}">
      <formula1>$R$5:$R$6</formula1>
    </dataValidation>
  </dataValidations>
  <pageMargins left="0.25" right="0.25" top="0.75" bottom="0.75" header="0.3" footer="0.3"/>
  <pageSetup paperSize="8" scale="77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8D178-704E-4800-8320-588E3DFCC97E}">
  <sheetPr>
    <pageSetUpPr fitToPage="1"/>
  </sheetPr>
  <dimension ref="A1:J81"/>
  <sheetViews>
    <sheetView topLeftCell="A58" workbookViewId="0">
      <selection activeCell="I71" sqref="I71"/>
    </sheetView>
  </sheetViews>
  <sheetFormatPr baseColWidth="10" defaultRowHeight="15" x14ac:dyDescent="0.25"/>
  <cols>
    <col min="1" max="1" width="8.5703125" customWidth="1"/>
    <col min="2" max="2" width="31.140625" customWidth="1"/>
    <col min="3" max="3" width="20.7109375" customWidth="1"/>
    <col min="5" max="5" width="11.140625" customWidth="1"/>
  </cols>
  <sheetData>
    <row r="1" spans="1:10" x14ac:dyDescent="0.25">
      <c r="A1" s="246" t="s">
        <v>141</v>
      </c>
      <c r="B1" s="246"/>
      <c r="C1" s="246"/>
      <c r="D1" s="246"/>
      <c r="E1" s="246"/>
      <c r="F1" s="246"/>
      <c r="G1" s="246"/>
    </row>
    <row r="2" spans="1:10" x14ac:dyDescent="0.25">
      <c r="A2" s="265" t="str">
        <f>détail!$A$2</f>
        <v>Système individuel</v>
      </c>
      <c r="B2" s="266"/>
      <c r="C2" s="266"/>
      <c r="D2" s="266"/>
      <c r="E2" s="266"/>
      <c r="F2" s="266"/>
      <c r="G2" s="266"/>
      <c r="H2" s="94">
        <v>1</v>
      </c>
      <c r="I2">
        <v>1.03</v>
      </c>
      <c r="J2" t="s">
        <v>22</v>
      </c>
    </row>
    <row r="3" spans="1:10" ht="15.75" thickBot="1" x14ac:dyDescent="0.3"/>
    <row r="4" spans="1:10" x14ac:dyDescent="0.25">
      <c r="A4" s="258" t="s">
        <v>90</v>
      </c>
      <c r="B4" s="233" t="str">
        <f>détail!B3</f>
        <v>Production</v>
      </c>
      <c r="C4" s="234"/>
      <c r="D4" s="256">
        <f>détail!C3</f>
        <v>0</v>
      </c>
      <c r="E4" s="256"/>
      <c r="F4" s="256"/>
      <c r="G4" s="257"/>
    </row>
    <row r="5" spans="1:10" x14ac:dyDescent="0.25">
      <c r="A5" s="259"/>
      <c r="B5" s="235" t="str">
        <f>détail!B4</f>
        <v>Surface concernée</v>
      </c>
      <c r="C5" s="236"/>
      <c r="E5" s="92">
        <f>détail!C4</f>
        <v>0</v>
      </c>
      <c r="F5" s="7" t="s">
        <v>3</v>
      </c>
      <c r="G5" s="99"/>
    </row>
    <row r="6" spans="1:10" x14ac:dyDescent="0.25">
      <c r="A6" s="259"/>
      <c r="B6" s="235" t="str">
        <f>détail!B5</f>
        <v>Objectif de  rendement année normale</v>
      </c>
      <c r="C6" s="236"/>
      <c r="D6" s="92">
        <f>détail!C5</f>
        <v>0</v>
      </c>
      <c r="E6" s="105" t="str">
        <f>détail!D5</f>
        <v>qtal/ha</v>
      </c>
      <c r="F6" s="93">
        <f>D6</f>
        <v>0</v>
      </c>
      <c r="G6" s="99" t="str">
        <f>IF(E6="qtal/ha","dt/ha","qtal/ha")</f>
        <v>dt/ha</v>
      </c>
    </row>
    <row r="7" spans="1:10" x14ac:dyDescent="0.25">
      <c r="A7" s="259"/>
      <c r="B7" s="237" t="s">
        <v>92</v>
      </c>
      <c r="C7" s="238"/>
      <c r="D7" s="92" t="e">
        <f>détail!$I$19</f>
        <v>#DIV/0!</v>
      </c>
      <c r="E7" s="106" t="str">
        <f>détail!$J$19</f>
        <v>€/qtal/an</v>
      </c>
      <c r="F7" s="98" t="e">
        <f>IF(LEFT(E7,1)="€",D7*$I$2,D7*1/$I$2)</f>
        <v>#DIV/0!</v>
      </c>
      <c r="G7" s="100" t="str">
        <f>IF(LEFT(E7,1)="€",REPLACE(E7,1,6,"CHF/dt"),REPLACE(E7,1,6,"€/qtal"))</f>
        <v>CHF/dt/an</v>
      </c>
    </row>
    <row r="8" spans="1:10" ht="15.75" thickBot="1" x14ac:dyDescent="0.3">
      <c r="A8" s="260"/>
      <c r="B8" s="239" t="s">
        <v>95</v>
      </c>
      <c r="C8" s="240"/>
      <c r="D8" s="101" t="e">
        <f>E5*D6*D7</f>
        <v>#DIV/0!</v>
      </c>
      <c r="E8" s="107" t="str">
        <f>détail!$L$9</f>
        <v>€</v>
      </c>
      <c r="F8" s="101" t="e">
        <f>IF(LEFT(E8,1)="€",D8*$I$2,D8*1/$I$2)</f>
        <v>#DIV/0!</v>
      </c>
      <c r="G8" s="102" t="str">
        <f t="shared" ref="G8:G77" si="0">IF(LEFT(E8,1)="€",REPLACE(E8,1,1,"CHF"),REPLACE(E8,1,3,"€"))</f>
        <v>CHF</v>
      </c>
    </row>
    <row r="9" spans="1:10" ht="15.75" thickBot="1" x14ac:dyDescent="0.3"/>
    <row r="10" spans="1:10" s="1" customFormat="1" ht="14.45" customHeight="1" x14ac:dyDescent="0.25">
      <c r="A10" s="253" t="s">
        <v>97</v>
      </c>
      <c r="B10" s="110" t="s">
        <v>102</v>
      </c>
      <c r="C10" s="111"/>
      <c r="D10" s="111"/>
      <c r="E10" s="112">
        <f>détail!$H$20</f>
        <v>10</v>
      </c>
      <c r="F10" s="111"/>
      <c r="G10" s="113"/>
    </row>
    <row r="11" spans="1:10" x14ac:dyDescent="0.25">
      <c r="A11" s="254"/>
      <c r="B11" s="95" t="s">
        <v>96</v>
      </c>
      <c r="D11" s="103"/>
      <c r="E11" s="104" t="e">
        <f>détail!D19</f>
        <v>#DIV/0!</v>
      </c>
      <c r="F11" s="96" t="str">
        <f>détail!E19</f>
        <v>%</v>
      </c>
      <c r="G11" s="114"/>
    </row>
    <row r="12" spans="1:10" x14ac:dyDescent="0.25">
      <c r="A12" s="254"/>
      <c r="B12" s="97" t="s">
        <v>98</v>
      </c>
      <c r="E12" s="98">
        <f>détail!F19</f>
        <v>0</v>
      </c>
      <c r="F12" s="98" t="str">
        <f>détail!G19</f>
        <v>qtal/ha/an</v>
      </c>
      <c r="G12" s="115"/>
    </row>
    <row r="13" spans="1:10" x14ac:dyDescent="0.25">
      <c r="A13" s="254"/>
      <c r="B13" s="97" t="s">
        <v>137</v>
      </c>
      <c r="D13" s="98">
        <f>détail!K19</f>
        <v>0</v>
      </c>
      <c r="E13" s="98" t="str">
        <f>détail!L19</f>
        <v>€/an</v>
      </c>
      <c r="F13" s="98">
        <f>IF(LEFT(E13,1)="€",D13*$I$2,D13*1/$I$2)</f>
        <v>0</v>
      </c>
      <c r="G13" s="116" t="str">
        <f t="shared" si="0"/>
        <v>CHF/an</v>
      </c>
    </row>
    <row r="14" spans="1:10" x14ac:dyDescent="0.25">
      <c r="A14" s="254"/>
      <c r="B14" s="97" t="s">
        <v>99</v>
      </c>
      <c r="D14" s="98">
        <f>détail!M19</f>
        <v>0</v>
      </c>
      <c r="E14" s="98" t="str">
        <f>détail!N19</f>
        <v>€/an</v>
      </c>
      <c r="F14" s="98">
        <f>IF(LEFT(E14,1)="€",D14*$I$2,D14*1/$I$2)</f>
        <v>0</v>
      </c>
      <c r="G14" s="116" t="str">
        <f t="shared" si="0"/>
        <v>CHF/an</v>
      </c>
    </row>
    <row r="15" spans="1:10" ht="15.75" thickBot="1" x14ac:dyDescent="0.3">
      <c r="A15" s="255"/>
      <c r="B15" s="117" t="s">
        <v>138</v>
      </c>
      <c r="C15" s="118"/>
      <c r="D15" s="119">
        <f>détail!M20</f>
        <v>0</v>
      </c>
      <c r="E15" s="120" t="str">
        <f>détail!N20</f>
        <v>€</v>
      </c>
      <c r="F15" s="119">
        <f>IF(LEFT(E15,1)="€",D15*$I$2,D15*1/$I$2)</f>
        <v>0</v>
      </c>
      <c r="G15" s="121" t="str">
        <f t="shared" si="0"/>
        <v>CHF</v>
      </c>
    </row>
    <row r="16" spans="1:10" x14ac:dyDescent="0.25">
      <c r="A16" s="108"/>
      <c r="D16" s="98"/>
      <c r="E16" s="98"/>
      <c r="F16" s="98"/>
    </row>
    <row r="17" spans="1:7" ht="15.75" thickBot="1" x14ac:dyDescent="0.3"/>
    <row r="18" spans="1:7" ht="16.5" thickTop="1" thickBot="1" x14ac:dyDescent="0.3">
      <c r="A18" s="243" t="s">
        <v>100</v>
      </c>
      <c r="B18" s="244"/>
      <c r="C18" s="244"/>
      <c r="D18" s="244"/>
      <c r="E18" s="244"/>
      <c r="F18" s="244"/>
      <c r="G18" s="245"/>
    </row>
    <row r="19" spans="1:7" x14ac:dyDescent="0.25">
      <c r="A19" s="230" t="s">
        <v>112</v>
      </c>
      <c r="B19" s="267" t="str">
        <f>détail!B25</f>
        <v>Consommation à l'hectare maximale</v>
      </c>
      <c r="C19" s="267"/>
      <c r="D19" s="133"/>
      <c r="E19" s="134">
        <f>détail!C25</f>
        <v>0</v>
      </c>
      <c r="F19" s="134" t="str">
        <f>détail!D25</f>
        <v>m3/ha</v>
      </c>
      <c r="G19" s="168"/>
    </row>
    <row r="20" spans="1:7" x14ac:dyDescent="0.25">
      <c r="A20" s="231"/>
      <c r="B20" s="268" t="str">
        <f>détail!B26</f>
        <v>Volume maximal pour la parcelle</v>
      </c>
      <c r="C20" s="268"/>
      <c r="D20" s="132"/>
      <c r="E20" s="131">
        <f>détail!C26</f>
        <v>0</v>
      </c>
      <c r="F20" s="131" t="str">
        <f>détail!D26</f>
        <v>m3/an</v>
      </c>
      <c r="G20" s="169"/>
    </row>
    <row r="21" spans="1:7" ht="15.75" thickBot="1" x14ac:dyDescent="0.3">
      <c r="A21" s="232"/>
      <c r="B21" s="135" t="s">
        <v>111</v>
      </c>
      <c r="C21" s="135"/>
      <c r="D21" s="136"/>
      <c r="E21" s="137">
        <f>détail!E40</f>
        <v>0</v>
      </c>
      <c r="F21" s="137" t="str">
        <f>détail!F40</f>
        <v>m3/an</v>
      </c>
      <c r="G21" s="170"/>
    </row>
    <row r="22" spans="1:7" ht="15.75" thickBot="1" x14ac:dyDescent="0.3">
      <c r="A22" s="171"/>
      <c r="B22" s="129"/>
      <c r="C22" s="129"/>
      <c r="D22" s="129"/>
      <c r="E22" s="130"/>
      <c r="F22" s="130"/>
      <c r="G22" s="169"/>
    </row>
    <row r="23" spans="1:7" ht="15.75" thickBot="1" x14ac:dyDescent="0.3">
      <c r="A23" s="247" t="s">
        <v>105</v>
      </c>
      <c r="B23" s="248"/>
      <c r="C23" s="248"/>
      <c r="D23" s="248"/>
      <c r="E23" s="248"/>
      <c r="F23" s="248"/>
      <c r="G23" s="249"/>
    </row>
    <row r="24" spans="1:7" ht="14.45" customHeight="1" x14ac:dyDescent="0.25">
      <c r="A24" s="261" t="s">
        <v>103</v>
      </c>
      <c r="B24" s="138" t="str">
        <f>détail!B43</f>
        <v>Intitulé</v>
      </c>
      <c r="C24" s="138" t="str">
        <f>détail!C43</f>
        <v>Détail</v>
      </c>
      <c r="D24" s="138">
        <f>détail!D43</f>
        <v>0</v>
      </c>
      <c r="E24" s="138">
        <f>détail!E43</f>
        <v>0</v>
      </c>
      <c r="F24" s="139"/>
      <c r="G24" s="172"/>
    </row>
    <row r="25" spans="1:7" x14ac:dyDescent="0.25">
      <c r="A25" s="262"/>
      <c r="B25" s="140" t="str">
        <f>détail!B44</f>
        <v xml:space="preserve">Cout infrastructure </v>
      </c>
      <c r="C25" s="141" t="str">
        <f>détail!C44</f>
        <v>création du forage à 30 m</v>
      </c>
      <c r="D25" s="140">
        <f>détail!D44</f>
        <v>0</v>
      </c>
      <c r="E25" s="140" t="str">
        <f>détail!E44</f>
        <v>€</v>
      </c>
      <c r="F25" s="140">
        <f t="shared" ref="F25:F33" si="1">IF(LEFT(E25,1)="€",D25*$I$2,D25*1/$I$2)</f>
        <v>0</v>
      </c>
      <c r="G25" s="173" t="str">
        <f t="shared" si="0"/>
        <v>CHF</v>
      </c>
    </row>
    <row r="26" spans="1:7" x14ac:dyDescent="0.25">
      <c r="A26" s="262"/>
      <c r="B26" s="140" t="str">
        <f>détail!B45</f>
        <v>Cout pompe  + equi annexes</v>
      </c>
      <c r="C26" s="141" t="str">
        <f>détail!C45</f>
        <v>achat pompe</v>
      </c>
      <c r="D26" s="140">
        <f>détail!D45</f>
        <v>0</v>
      </c>
      <c r="E26" s="140" t="str">
        <f>détail!E45</f>
        <v>€</v>
      </c>
      <c r="F26" s="140">
        <f t="shared" si="1"/>
        <v>0</v>
      </c>
      <c r="G26" s="173" t="str">
        <f t="shared" si="0"/>
        <v>CHF</v>
      </c>
    </row>
    <row r="27" spans="1:7" x14ac:dyDescent="0.25">
      <c r="A27" s="262"/>
      <c r="B27" s="140" t="str">
        <f>détail!B46</f>
        <v>Cout raccordement électrique</v>
      </c>
      <c r="C27" s="141" t="str">
        <f>détail!C46</f>
        <v>raccordement pompe au réseau</v>
      </c>
      <c r="D27" s="140">
        <f>détail!D46</f>
        <v>0</v>
      </c>
      <c r="E27" s="140" t="str">
        <f>détail!E46</f>
        <v>€</v>
      </c>
      <c r="F27" s="140">
        <f t="shared" si="1"/>
        <v>0</v>
      </c>
      <c r="G27" s="173" t="str">
        <f t="shared" si="0"/>
        <v>CHF</v>
      </c>
    </row>
    <row r="28" spans="1:7" x14ac:dyDescent="0.25">
      <c r="A28" s="262"/>
      <c r="B28" s="140" t="str">
        <f>détail!B47</f>
        <v>Canalisations</v>
      </c>
      <c r="C28" s="141" t="str">
        <f>détail!C47</f>
        <v>entre pompe et parcelle</v>
      </c>
      <c r="D28" s="140">
        <f>détail!D47</f>
        <v>0</v>
      </c>
      <c r="E28" s="140" t="str">
        <f>détail!E47</f>
        <v>€</v>
      </c>
      <c r="F28" s="140">
        <f t="shared" si="1"/>
        <v>0</v>
      </c>
      <c r="G28" s="173" t="str">
        <f t="shared" si="0"/>
        <v>CHF</v>
      </c>
    </row>
    <row r="29" spans="1:7" x14ac:dyDescent="0.25">
      <c r="A29" s="262"/>
      <c r="B29" s="140" t="str">
        <f>détail!B48</f>
        <v xml:space="preserve">Cout matériel aspersion </v>
      </c>
      <c r="C29" s="141" t="str">
        <f>détail!C48</f>
        <v>achat enrouleur</v>
      </c>
      <c r="D29" s="140">
        <f>détail!D48</f>
        <v>0</v>
      </c>
      <c r="E29" s="140" t="str">
        <f>détail!E48</f>
        <v>€</v>
      </c>
      <c r="F29" s="140">
        <f t="shared" si="1"/>
        <v>0</v>
      </c>
      <c r="G29" s="173" t="str">
        <f t="shared" si="0"/>
        <v>CHF</v>
      </c>
    </row>
    <row r="30" spans="1:7" x14ac:dyDescent="0.25">
      <c r="A30" s="262"/>
      <c r="B30" s="140" t="str">
        <f>détail!B49</f>
        <v>Cout Etude</v>
      </c>
      <c r="C30" s="141" t="str">
        <f>détail!C49</f>
        <v>autorisation administrative,...</v>
      </c>
      <c r="D30" s="140">
        <f>détail!D49</f>
        <v>0</v>
      </c>
      <c r="E30" s="140" t="str">
        <f>détail!E49</f>
        <v>€</v>
      </c>
      <c r="F30" s="140">
        <f t="shared" si="1"/>
        <v>0</v>
      </c>
      <c r="G30" s="173" t="str">
        <f t="shared" si="0"/>
        <v>CHF</v>
      </c>
    </row>
    <row r="31" spans="1:7" x14ac:dyDescent="0.25">
      <c r="A31" s="262"/>
      <c r="B31" s="140" t="str">
        <f>détail!B50</f>
        <v>Cout investissement divers</v>
      </c>
      <c r="C31" s="140">
        <f>détail!C50</f>
        <v>0</v>
      </c>
      <c r="D31" s="140">
        <f>détail!D50</f>
        <v>0</v>
      </c>
      <c r="E31" s="140" t="str">
        <f>détail!E50</f>
        <v>€</v>
      </c>
      <c r="F31" s="140">
        <f t="shared" si="1"/>
        <v>0</v>
      </c>
      <c r="G31" s="173" t="str">
        <f t="shared" si="0"/>
        <v>CHF</v>
      </c>
    </row>
    <row r="32" spans="1:7" x14ac:dyDescent="0.25">
      <c r="A32" s="262"/>
      <c r="B32" s="142" t="str">
        <f>détail!B51</f>
        <v>Total investissement</v>
      </c>
      <c r="C32" s="143"/>
      <c r="D32" s="143">
        <f>détail!D51</f>
        <v>0</v>
      </c>
      <c r="E32" s="143" t="str">
        <f>détail!E51</f>
        <v>€</v>
      </c>
      <c r="F32" s="143">
        <f t="shared" si="1"/>
        <v>0</v>
      </c>
      <c r="G32" s="174" t="str">
        <f t="shared" si="0"/>
        <v>CHF</v>
      </c>
    </row>
    <row r="33" spans="1:7" ht="15.75" thickBot="1" x14ac:dyDescent="0.3">
      <c r="A33" s="263"/>
      <c r="B33" s="144" t="str">
        <f>détail!B52</f>
        <v>Amortissement sur 10 ans</v>
      </c>
      <c r="C33" s="145"/>
      <c r="D33" s="145">
        <f>détail!D52</f>
        <v>0</v>
      </c>
      <c r="E33" s="145" t="str">
        <f>détail!E52</f>
        <v>€/an</v>
      </c>
      <c r="F33" s="145">
        <f t="shared" si="1"/>
        <v>0</v>
      </c>
      <c r="G33" s="175" t="str">
        <f t="shared" si="0"/>
        <v>CHF/an</v>
      </c>
    </row>
    <row r="34" spans="1:7" ht="15.75" thickBot="1" x14ac:dyDescent="0.3">
      <c r="A34" s="176"/>
      <c r="G34" s="177"/>
    </row>
    <row r="35" spans="1:7" x14ac:dyDescent="0.25">
      <c r="A35" s="261" t="s">
        <v>101</v>
      </c>
      <c r="B35" s="138" t="str">
        <f>détail!B70</f>
        <v>Intitulé</v>
      </c>
      <c r="C35" s="138" t="str">
        <f>détail!C70</f>
        <v>Détail</v>
      </c>
      <c r="D35" s="138"/>
      <c r="E35" s="138"/>
      <c r="F35" s="139"/>
      <c r="G35" s="172"/>
    </row>
    <row r="36" spans="1:7" x14ac:dyDescent="0.25">
      <c r="A36" s="262"/>
      <c r="B36" s="140" t="str">
        <f>détail!B71</f>
        <v xml:space="preserve">Energie </v>
      </c>
      <c r="C36" s="141" t="str">
        <f>détail!C71</f>
        <v>facture électricité</v>
      </c>
      <c r="D36" s="140">
        <f>détail!D71</f>
        <v>0</v>
      </c>
      <c r="E36" s="140" t="str">
        <f>détail!E71</f>
        <v>€/an</v>
      </c>
      <c r="F36" s="140">
        <f t="shared" ref="F36:F42" si="2">IF(LEFT(E36,1)="€",D36*$I$2,D36*1/$I$2)</f>
        <v>0</v>
      </c>
      <c r="G36" s="173" t="str">
        <f t="shared" si="0"/>
        <v>CHF/an</v>
      </c>
    </row>
    <row r="37" spans="1:7" x14ac:dyDescent="0.25">
      <c r="A37" s="262"/>
      <c r="B37" s="140" t="str">
        <f>détail!B72</f>
        <v>Achat eau</v>
      </c>
      <c r="C37" s="141" t="str">
        <f>détail!C72</f>
        <v>Redevance Agence de l'Eau</v>
      </c>
      <c r="D37" s="140">
        <f>détail!D72</f>
        <v>0</v>
      </c>
      <c r="E37" s="140" t="str">
        <f>détail!E72</f>
        <v>€/an</v>
      </c>
      <c r="F37" s="140">
        <f t="shared" si="2"/>
        <v>0</v>
      </c>
      <c r="G37" s="173" t="str">
        <f t="shared" si="0"/>
        <v>CHF/an</v>
      </c>
    </row>
    <row r="38" spans="1:7" x14ac:dyDescent="0.25">
      <c r="A38" s="262"/>
      <c r="B38" s="140" t="str">
        <f>détail!B73</f>
        <v>Main d'œuvre</v>
      </c>
      <c r="C38" s="141" t="str">
        <f>détail!C73</f>
        <v>Manipulation enrouleur</v>
      </c>
      <c r="D38" s="140" t="e">
        <f>détail!D73</f>
        <v>#DIV/0!</v>
      </c>
      <c r="E38" s="140" t="str">
        <f>détail!E73</f>
        <v>€/an</v>
      </c>
      <c r="F38" s="140" t="e">
        <f t="shared" si="2"/>
        <v>#DIV/0!</v>
      </c>
      <c r="G38" s="173" t="str">
        <f t="shared" si="0"/>
        <v>CHF/an</v>
      </c>
    </row>
    <row r="39" spans="1:7" x14ac:dyDescent="0.25">
      <c r="A39" s="262"/>
      <c r="B39" s="140" t="str">
        <f>détail!B74</f>
        <v>Frais autre matériel</v>
      </c>
      <c r="C39" s="141" t="str">
        <f>détail!C74</f>
        <v>Utilisation tracteur pour l'irrigation</v>
      </c>
      <c r="D39" s="140" t="e">
        <f>détail!D74</f>
        <v>#DIV/0!</v>
      </c>
      <c r="E39" s="140" t="str">
        <f>détail!E74</f>
        <v>€/an</v>
      </c>
      <c r="F39" s="140" t="e">
        <f t="shared" si="2"/>
        <v>#DIV/0!</v>
      </c>
      <c r="G39" s="173" t="str">
        <f t="shared" si="0"/>
        <v>CHF/an</v>
      </c>
    </row>
    <row r="40" spans="1:7" x14ac:dyDescent="0.25">
      <c r="A40" s="262"/>
      <c r="B40" s="140" t="str">
        <f>détail!B75</f>
        <v>Maintenance</v>
      </c>
      <c r="C40" s="141" t="str">
        <f>détail!C75</f>
        <v>Pièce enrouleur,...</v>
      </c>
      <c r="D40" s="140">
        <f>détail!D75</f>
        <v>400</v>
      </c>
      <c r="E40" s="140" t="str">
        <f>détail!E75</f>
        <v>€/an</v>
      </c>
      <c r="F40" s="140">
        <f t="shared" si="2"/>
        <v>412</v>
      </c>
      <c r="G40" s="173" t="str">
        <f t="shared" si="0"/>
        <v>CHF/an</v>
      </c>
    </row>
    <row r="41" spans="1:7" x14ac:dyDescent="0.25">
      <c r="A41" s="262"/>
      <c r="B41" s="142" t="str">
        <f>détail!B76</f>
        <v>Divers</v>
      </c>
      <c r="C41" s="143"/>
      <c r="D41" s="143">
        <f>détail!D76</f>
        <v>0</v>
      </c>
      <c r="E41" s="143" t="str">
        <f>détail!E76</f>
        <v>€/an</v>
      </c>
      <c r="F41" s="143">
        <f t="shared" si="2"/>
        <v>0</v>
      </c>
      <c r="G41" s="174" t="str">
        <f t="shared" si="0"/>
        <v>CHF/an</v>
      </c>
    </row>
    <row r="42" spans="1:7" ht="15.75" thickBot="1" x14ac:dyDescent="0.3">
      <c r="A42" s="263"/>
      <c r="B42" s="144" t="str">
        <f>détail!B77</f>
        <v>Total fonctionnement annuel</v>
      </c>
      <c r="C42" s="145"/>
      <c r="D42" s="145" t="e">
        <f>détail!D77</f>
        <v>#DIV/0!</v>
      </c>
      <c r="E42" s="145" t="str">
        <f>détail!E77</f>
        <v>€/an</v>
      </c>
      <c r="F42" s="145" t="e">
        <f t="shared" si="2"/>
        <v>#DIV/0!</v>
      </c>
      <c r="G42" s="175" t="str">
        <f t="shared" si="0"/>
        <v>CHF/an</v>
      </c>
    </row>
    <row r="43" spans="1:7" ht="15.75" thickBot="1" x14ac:dyDescent="0.3">
      <c r="A43" s="198"/>
      <c r="B43" s="138"/>
      <c r="C43" s="138"/>
      <c r="D43" s="138"/>
      <c r="E43" s="138"/>
      <c r="F43" s="138"/>
      <c r="G43" s="172"/>
    </row>
    <row r="44" spans="1:7" ht="38.450000000000003" customHeight="1" thickBot="1" x14ac:dyDescent="0.3">
      <c r="A44" s="199" t="s">
        <v>116</v>
      </c>
      <c r="B44" s="200" t="s">
        <v>119</v>
      </c>
      <c r="C44" s="201" t="s">
        <v>120</v>
      </c>
      <c r="D44" s="202">
        <f>détail!M93</f>
        <v>0</v>
      </c>
      <c r="E44" s="202" t="str">
        <f>détail!N93</f>
        <v>€/an</v>
      </c>
      <c r="F44" s="202">
        <f>IF(LEFT(E44,1)="€",D44*$I$2,D44*1/$I$2)</f>
        <v>0</v>
      </c>
      <c r="G44" s="203" t="str">
        <f>IF(LEFT(E44,1)="€",REPLACE(E44,1,1,"CHF"),REPLACE(E44,1,3,"€"))</f>
        <v>CHF/an</v>
      </c>
    </row>
    <row r="45" spans="1:7" ht="15.75" thickBot="1" x14ac:dyDescent="0.3">
      <c r="A45" s="176"/>
      <c r="B45" s="98"/>
      <c r="C45" s="98"/>
      <c r="D45" s="98"/>
      <c r="E45" s="98"/>
      <c r="G45" s="177"/>
    </row>
    <row r="46" spans="1:7" ht="14.45" customHeight="1" x14ac:dyDescent="0.25">
      <c r="A46" s="250" t="s">
        <v>123</v>
      </c>
      <c r="B46" s="146" t="str">
        <f>détail!B97</f>
        <v xml:space="preserve">Surface concernée </v>
      </c>
      <c r="C46" s="147"/>
      <c r="D46" s="147"/>
      <c r="E46" s="148">
        <f>détail!C97</f>
        <v>0</v>
      </c>
      <c r="F46" s="148" t="s">
        <v>3</v>
      </c>
      <c r="G46" s="178"/>
    </row>
    <row r="47" spans="1:7" x14ac:dyDescent="0.25">
      <c r="A47" s="251"/>
      <c r="B47" s="149" t="str">
        <f>détail!B98</f>
        <v>Vente hors période de sécheresse</v>
      </c>
      <c r="C47" s="150"/>
      <c r="D47" s="151">
        <f>détail!C98</f>
        <v>0</v>
      </c>
      <c r="E47" s="151" t="str">
        <f>détail!D98</f>
        <v>€/an</v>
      </c>
      <c r="F47" s="151">
        <f>IF(LEFT(E47,1)="€",D47*$I$2,D47*1/$I$2)</f>
        <v>0</v>
      </c>
      <c r="G47" s="179" t="str">
        <f t="shared" si="0"/>
        <v>CHF/an</v>
      </c>
    </row>
    <row r="48" spans="1:7" x14ac:dyDescent="0.25">
      <c r="A48" s="251"/>
      <c r="B48" s="149" t="str">
        <f>détail!B99</f>
        <v>% de rendement de la parcelle sur 10 ans avec les périodes de sécheresses</v>
      </c>
      <c r="C48" s="150"/>
      <c r="D48" s="150"/>
      <c r="E48" s="151" t="e">
        <f>détail!C99</f>
        <v>#DIV/0!</v>
      </c>
      <c r="F48" s="151" t="s">
        <v>38</v>
      </c>
      <c r="G48" s="180"/>
    </row>
    <row r="49" spans="1:7" x14ac:dyDescent="0.25">
      <c r="A49" s="251"/>
      <c r="B49" s="149" t="str">
        <f>détail!B100</f>
        <v>Années à la pluviométrie normales (sans nécessité d'irrigation)</v>
      </c>
      <c r="C49" s="150"/>
      <c r="D49" s="150"/>
      <c r="E49" s="151">
        <f>détail!C100</f>
        <v>10</v>
      </c>
      <c r="F49" s="151" t="str">
        <f>détail!D100</f>
        <v>années</v>
      </c>
      <c r="G49" s="179"/>
    </row>
    <row r="50" spans="1:7" x14ac:dyDescent="0.25">
      <c r="A50" s="251"/>
      <c r="B50" s="149" t="str">
        <f>détail!B101</f>
        <v>Vente sur 10 ans avec périodes de sécheresse sans irrigation</v>
      </c>
      <c r="C50" s="150"/>
      <c r="D50" s="151">
        <f>détail!C101</f>
        <v>0</v>
      </c>
      <c r="E50" s="151" t="str">
        <f>détail!D101</f>
        <v>€/an</v>
      </c>
      <c r="F50" s="151">
        <f t="shared" ref="F50:F60" si="3">IF(LEFT(E50,1)="€",D50*$I$2,D50*1/$I$2)</f>
        <v>0</v>
      </c>
      <c r="G50" s="179" t="str">
        <f t="shared" si="0"/>
        <v>CHF/an</v>
      </c>
    </row>
    <row r="51" spans="1:7" x14ac:dyDescent="0.25">
      <c r="A51" s="251"/>
      <c r="B51" s="149" t="str">
        <f>détail!B102</f>
        <v>Perte moyenne annuelle sur 10 ans liées aux sécheresses</v>
      </c>
      <c r="C51" s="150"/>
      <c r="D51" s="151">
        <f>détail!C102</f>
        <v>0</v>
      </c>
      <c r="E51" s="151" t="str">
        <f>détail!D102</f>
        <v>€/an</v>
      </c>
      <c r="F51" s="151">
        <f t="shared" si="3"/>
        <v>0</v>
      </c>
      <c r="G51" s="179" t="str">
        <f t="shared" si="0"/>
        <v>CHF/an</v>
      </c>
    </row>
    <row r="52" spans="1:7" x14ac:dyDescent="0.25">
      <c r="A52" s="251"/>
      <c r="B52" s="149" t="str">
        <f>détail!B103</f>
        <v>Achat pour compenser la perte de production</v>
      </c>
      <c r="C52" s="150"/>
      <c r="D52" s="151">
        <f>détail!C103</f>
        <v>0</v>
      </c>
      <c r="E52" s="151" t="str">
        <f>détail!D103</f>
        <v>€/an</v>
      </c>
      <c r="F52" s="151">
        <f t="shared" si="3"/>
        <v>0</v>
      </c>
      <c r="G52" s="179" t="str">
        <f t="shared" si="0"/>
        <v>CHF/an</v>
      </c>
    </row>
    <row r="53" spans="1:7" x14ac:dyDescent="0.25">
      <c r="A53" s="251"/>
      <c r="B53" s="149" t="str">
        <f>détail!B104</f>
        <v>Cout moyen annuel de l'irrigation pour maintenir la production les 10 premières années</v>
      </c>
      <c r="C53" s="150"/>
      <c r="D53" s="151" t="e">
        <f>détail!C104</f>
        <v>#DIV/0!</v>
      </c>
      <c r="E53" s="151" t="str">
        <f>détail!D104</f>
        <v>€/an</v>
      </c>
      <c r="F53" s="151" t="e">
        <f t="shared" si="3"/>
        <v>#DIV/0!</v>
      </c>
      <c r="G53" s="179" t="str">
        <f t="shared" si="0"/>
        <v>CHF/an</v>
      </c>
    </row>
    <row r="54" spans="1:7" x14ac:dyDescent="0.25">
      <c r="A54" s="251"/>
      <c r="B54" s="150"/>
      <c r="C54" s="152" t="str">
        <f>détail!B105</f>
        <v>dont amortissement</v>
      </c>
      <c r="D54" s="152">
        <f>détail!C105</f>
        <v>0</v>
      </c>
      <c r="E54" s="152" t="str">
        <f>détail!D105</f>
        <v>€/an</v>
      </c>
      <c r="F54" s="152">
        <f t="shared" si="3"/>
        <v>0</v>
      </c>
      <c r="G54" s="181" t="str">
        <f t="shared" si="0"/>
        <v>CHF/an</v>
      </c>
    </row>
    <row r="55" spans="1:7" x14ac:dyDescent="0.25">
      <c r="A55" s="251"/>
      <c r="B55" s="150"/>
      <c r="C55" s="152" t="str">
        <f>détail!B106</f>
        <v>dont frais fonctionnement</v>
      </c>
      <c r="D55" s="152" t="e">
        <f>détail!C106</f>
        <v>#DIV/0!</v>
      </c>
      <c r="E55" s="152" t="str">
        <f>détail!D106</f>
        <v>€/an</v>
      </c>
      <c r="F55" s="152" t="e">
        <f t="shared" si="3"/>
        <v>#DIV/0!</v>
      </c>
      <c r="G55" s="181" t="str">
        <f t="shared" si="0"/>
        <v>CHF/an</v>
      </c>
    </row>
    <row r="56" spans="1:7" x14ac:dyDescent="0.25">
      <c r="A56" s="251"/>
      <c r="B56" s="151" t="str">
        <f>détail!B107</f>
        <v>Frais liés aux intrants supplémentaires (semences, engrais,...)</v>
      </c>
      <c r="C56" s="152"/>
      <c r="D56" s="152">
        <f>détail!C107</f>
        <v>0</v>
      </c>
      <c r="E56" s="152" t="str">
        <f>détail!D107</f>
        <v>€/an</v>
      </c>
      <c r="F56" s="152">
        <f>IF(LEFT(E56,1)="€",D56*$I$2,D56*1/$I$2)</f>
        <v>0</v>
      </c>
      <c r="G56" s="181" t="str">
        <f t="shared" si="0"/>
        <v>CHF/an</v>
      </c>
    </row>
    <row r="57" spans="1:7" x14ac:dyDescent="0.25">
      <c r="A57" s="251"/>
      <c r="B57" s="149" t="str">
        <f>détail!B108</f>
        <v>Gain  avec irrigation les 10eres années</v>
      </c>
      <c r="C57" s="150"/>
      <c r="D57" s="151" t="e">
        <f>détail!C108</f>
        <v>#DIV/0!</v>
      </c>
      <c r="E57" s="151" t="str">
        <f>détail!D108</f>
        <v>€/an</v>
      </c>
      <c r="F57" s="151" t="e">
        <f t="shared" si="3"/>
        <v>#DIV/0!</v>
      </c>
      <c r="G57" s="179" t="str">
        <f t="shared" si="0"/>
        <v>CHF/an</v>
      </c>
    </row>
    <row r="58" spans="1:7" x14ac:dyDescent="0.25">
      <c r="A58" s="251"/>
      <c r="B58" s="149"/>
      <c r="C58" s="152" t="str">
        <f>détail!B109</f>
        <v>dont généré par l'irrigation</v>
      </c>
      <c r="D58" s="152" t="e">
        <f>détail!C109</f>
        <v>#DIV/0!</v>
      </c>
      <c r="E58" s="152" t="str">
        <f>détail!D109</f>
        <v>€/an</v>
      </c>
      <c r="F58" s="152" t="e">
        <f t="shared" si="3"/>
        <v>#DIV/0!</v>
      </c>
      <c r="G58" s="181" t="str">
        <f t="shared" si="0"/>
        <v>CHF/an</v>
      </c>
    </row>
    <row r="59" spans="1:7" x14ac:dyDescent="0.25">
      <c r="A59" s="251"/>
      <c r="B59" s="149" t="str">
        <f>détail!B110</f>
        <v>Gain de la parcelle après les 10eres années</v>
      </c>
      <c r="C59" s="150"/>
      <c r="D59" s="151" t="e">
        <f>détail!C110</f>
        <v>#DIV/0!</v>
      </c>
      <c r="E59" s="151" t="str">
        <f>détail!D110</f>
        <v>€/an</v>
      </c>
      <c r="F59" s="151" t="e">
        <f t="shared" si="3"/>
        <v>#DIV/0!</v>
      </c>
      <c r="G59" s="179" t="str">
        <f t="shared" si="0"/>
        <v>CHF/an</v>
      </c>
    </row>
    <row r="60" spans="1:7" x14ac:dyDescent="0.25">
      <c r="A60" s="251"/>
      <c r="B60" s="129"/>
      <c r="C60" s="152" t="str">
        <f>détail!B111</f>
        <v>dont généré par l'irrigation</v>
      </c>
      <c r="D60" s="153" t="e">
        <f>détail!C111</f>
        <v>#DIV/0!</v>
      </c>
      <c r="E60" s="153" t="str">
        <f>détail!D111</f>
        <v>€/an</v>
      </c>
      <c r="F60" s="153" t="e">
        <f t="shared" si="3"/>
        <v>#DIV/0!</v>
      </c>
      <c r="G60" s="182" t="str">
        <f t="shared" si="0"/>
        <v>CHF/an</v>
      </c>
    </row>
    <row r="61" spans="1:7" ht="15.75" thickBot="1" x14ac:dyDescent="0.3">
      <c r="A61" s="264"/>
      <c r="B61" s="193" t="str">
        <f>détail!B112</f>
        <v>Nombre d'années pour amortir l'investissement</v>
      </c>
      <c r="C61" s="194"/>
      <c r="D61" s="194"/>
      <c r="E61" s="195" t="e">
        <f>détail!C112</f>
        <v>#DIV/0!</v>
      </c>
      <c r="F61" s="195" t="str">
        <f>détail!D112</f>
        <v>années</v>
      </c>
      <c r="G61" s="196"/>
    </row>
    <row r="62" spans="1:7" ht="15.75" thickBot="1" x14ac:dyDescent="0.3">
      <c r="A62" s="176"/>
      <c r="G62" s="177"/>
    </row>
    <row r="63" spans="1:7" x14ac:dyDescent="0.25">
      <c r="A63" s="250" t="s">
        <v>122</v>
      </c>
      <c r="B63" s="154" t="str">
        <f>détail!B97</f>
        <v xml:space="preserve">Surface concernée </v>
      </c>
      <c r="C63" s="155"/>
      <c r="D63" s="155"/>
      <c r="E63" s="156">
        <f>détail!E97</f>
        <v>1</v>
      </c>
      <c r="F63" s="156" t="s">
        <v>3</v>
      </c>
      <c r="G63" s="183"/>
    </row>
    <row r="64" spans="1:7" x14ac:dyDescent="0.25">
      <c r="A64" s="251"/>
      <c r="B64" s="157" t="str">
        <f>détail!B98</f>
        <v>Vente hors période de sécheresse</v>
      </c>
      <c r="C64" s="129"/>
      <c r="D64" s="130" t="e">
        <f>détail!E98</f>
        <v>#DIV/0!</v>
      </c>
      <c r="E64" s="130" t="str">
        <f>détail!F98</f>
        <v>€/ha</v>
      </c>
      <c r="F64" s="130" t="e">
        <f>IF(LEFT(E64,1)="€",D64*$I$2,D64*1/$I$2)</f>
        <v>#DIV/0!</v>
      </c>
      <c r="G64" s="184" t="str">
        <f t="shared" si="0"/>
        <v>CHF/ha</v>
      </c>
    </row>
    <row r="65" spans="1:7" x14ac:dyDescent="0.25">
      <c r="A65" s="251"/>
      <c r="B65" s="157" t="str">
        <f>détail!B99</f>
        <v>% de rendement de la parcelle sur 10 ans avec les périodes de sécheresses</v>
      </c>
      <c r="C65" s="129"/>
      <c r="D65" s="129"/>
      <c r="E65" s="130" t="e">
        <f>détail!E99</f>
        <v>#DIV/0!</v>
      </c>
      <c r="F65" s="130" t="s">
        <v>38</v>
      </c>
      <c r="G65" s="169"/>
    </row>
    <row r="66" spans="1:7" x14ac:dyDescent="0.25">
      <c r="A66" s="251"/>
      <c r="B66" s="157" t="str">
        <f>B49</f>
        <v>Années à la pluviométrie normales (sans nécessité d'irrigation)</v>
      </c>
      <c r="C66" s="130"/>
      <c r="D66" s="130"/>
      <c r="E66" s="130">
        <f>E49</f>
        <v>10</v>
      </c>
      <c r="F66" s="130" t="str">
        <f>F49</f>
        <v>années</v>
      </c>
      <c r="G66" s="169"/>
    </row>
    <row r="67" spans="1:7" x14ac:dyDescent="0.25">
      <c r="A67" s="251"/>
      <c r="B67" s="157" t="str">
        <f>détail!B101</f>
        <v>Vente sur 10 ans avec périodes de sécheresse sans irrigation</v>
      </c>
      <c r="C67" s="129"/>
      <c r="D67" s="130" t="e">
        <f>détail!E101</f>
        <v>#DIV/0!</v>
      </c>
      <c r="E67" s="130" t="str">
        <f>détail!F101</f>
        <v>€/ha</v>
      </c>
      <c r="F67" s="130" t="e">
        <f t="shared" ref="F67:F77" si="4">IF(LEFT(E67,1)="€",D67*$I$2,D67*1/$I$2)</f>
        <v>#DIV/0!</v>
      </c>
      <c r="G67" s="184" t="str">
        <f t="shared" si="0"/>
        <v>CHF/ha</v>
      </c>
    </row>
    <row r="68" spans="1:7" x14ac:dyDescent="0.25">
      <c r="A68" s="251"/>
      <c r="B68" s="157" t="str">
        <f>détail!B102</f>
        <v>Perte moyenne annuelle sur 10 ans liées aux sécheresses</v>
      </c>
      <c r="C68" s="129"/>
      <c r="D68" s="130" t="e">
        <f>détail!E102</f>
        <v>#DIV/0!</v>
      </c>
      <c r="E68" s="130" t="str">
        <f>détail!F102</f>
        <v>€/ha</v>
      </c>
      <c r="F68" s="130" t="e">
        <f t="shared" si="4"/>
        <v>#DIV/0!</v>
      </c>
      <c r="G68" s="184" t="str">
        <f t="shared" si="0"/>
        <v>CHF/ha</v>
      </c>
    </row>
    <row r="69" spans="1:7" x14ac:dyDescent="0.25">
      <c r="A69" s="251"/>
      <c r="B69" s="157" t="str">
        <f>détail!B103</f>
        <v>Achat pour compenser la perte de production</v>
      </c>
      <c r="C69" s="129"/>
      <c r="D69" s="130" t="e">
        <f>détail!E103</f>
        <v>#DIV/0!</v>
      </c>
      <c r="E69" s="130" t="str">
        <f>détail!F103</f>
        <v>€/ha</v>
      </c>
      <c r="F69" s="130" t="e">
        <f t="shared" si="4"/>
        <v>#DIV/0!</v>
      </c>
      <c r="G69" s="184" t="str">
        <f t="shared" si="0"/>
        <v>CHF/ha</v>
      </c>
    </row>
    <row r="70" spans="1:7" x14ac:dyDescent="0.25">
      <c r="A70" s="251"/>
      <c r="B70" s="157" t="str">
        <f>détail!B104</f>
        <v>Cout moyen annuel de l'irrigation pour maintenir la production les 10 premières années</v>
      </c>
      <c r="C70" s="129"/>
      <c r="D70" s="130" t="e">
        <f>détail!E104</f>
        <v>#DIV/0!</v>
      </c>
      <c r="E70" s="130" t="str">
        <f>détail!F104</f>
        <v>€/ha</v>
      </c>
      <c r="F70" s="130" t="e">
        <f t="shared" si="4"/>
        <v>#DIV/0!</v>
      </c>
      <c r="G70" s="184" t="str">
        <f t="shared" si="0"/>
        <v>CHF/ha</v>
      </c>
    </row>
    <row r="71" spans="1:7" x14ac:dyDescent="0.25">
      <c r="A71" s="251"/>
      <c r="B71" s="158"/>
      <c r="C71" s="159" t="str">
        <f>détail!B105</f>
        <v>dont amortissement</v>
      </c>
      <c r="D71" s="152" t="e">
        <f>détail!E105</f>
        <v>#DIV/0!</v>
      </c>
      <c r="E71" s="152" t="str">
        <f>détail!F105</f>
        <v>€/ha</v>
      </c>
      <c r="F71" s="152" t="e">
        <f t="shared" si="4"/>
        <v>#DIV/0!</v>
      </c>
      <c r="G71" s="181" t="str">
        <f t="shared" si="0"/>
        <v>CHF/ha</v>
      </c>
    </row>
    <row r="72" spans="1:7" x14ac:dyDescent="0.25">
      <c r="A72" s="251"/>
      <c r="B72" s="158"/>
      <c r="C72" s="159" t="str">
        <f>détail!B106</f>
        <v>dont frais fonctionnement</v>
      </c>
      <c r="D72" s="152" t="e">
        <f>détail!E106</f>
        <v>#DIV/0!</v>
      </c>
      <c r="E72" s="152" t="str">
        <f>détail!F106</f>
        <v>€/ha</v>
      </c>
      <c r="F72" s="152" t="e">
        <f t="shared" si="4"/>
        <v>#DIV/0!</v>
      </c>
      <c r="G72" s="181" t="str">
        <f t="shared" si="0"/>
        <v>CHF/ha</v>
      </c>
    </row>
    <row r="73" spans="1:7" x14ac:dyDescent="0.25">
      <c r="A73" s="251"/>
      <c r="B73" s="157" t="str">
        <f>détail!B107</f>
        <v>Frais liés aux intrants supplémentaires (semences, engrais,...)</v>
      </c>
      <c r="C73" s="159"/>
      <c r="D73" s="152" t="e">
        <f>détail!E107</f>
        <v>#DIV/0!</v>
      </c>
      <c r="E73" s="152" t="str">
        <f>détail!F107</f>
        <v>€/ha</v>
      </c>
      <c r="F73" s="152" t="e">
        <f t="shared" si="4"/>
        <v>#DIV/0!</v>
      </c>
      <c r="G73" s="181" t="str">
        <f>IF(LEFT(E73,1)="€",REPLACE(E73,1,1,"CHF"),REPLACE(E73,1,3,"€"))</f>
        <v>CHF/ha</v>
      </c>
    </row>
    <row r="74" spans="1:7" x14ac:dyDescent="0.25">
      <c r="A74" s="251"/>
      <c r="B74" s="157" t="str">
        <f>détail!B108</f>
        <v>Gain  avec irrigation les 10eres années</v>
      </c>
      <c r="C74" s="129"/>
      <c r="D74" s="130" t="e">
        <f>détail!E108</f>
        <v>#DIV/0!</v>
      </c>
      <c r="E74" s="130" t="str">
        <f>détail!F108</f>
        <v>€/ha</v>
      </c>
      <c r="F74" s="130" t="e">
        <f t="shared" si="4"/>
        <v>#DIV/0!</v>
      </c>
      <c r="G74" s="184" t="str">
        <f t="shared" si="0"/>
        <v>CHF/ha</v>
      </c>
    </row>
    <row r="75" spans="1:7" x14ac:dyDescent="0.25">
      <c r="A75" s="251"/>
      <c r="B75" s="158"/>
      <c r="C75" s="152" t="str">
        <f>détail!B109</f>
        <v>dont généré par l'irrigation</v>
      </c>
      <c r="D75" s="152" t="e">
        <f>détail!E109</f>
        <v>#DIV/0!</v>
      </c>
      <c r="E75" s="152" t="str">
        <f>détail!F109</f>
        <v>€/ha</v>
      </c>
      <c r="F75" s="152" t="e">
        <f t="shared" si="4"/>
        <v>#DIV/0!</v>
      </c>
      <c r="G75" s="181" t="str">
        <f t="shared" si="0"/>
        <v>CHF/ha</v>
      </c>
    </row>
    <row r="76" spans="1:7" x14ac:dyDescent="0.25">
      <c r="A76" s="251"/>
      <c r="B76" s="157" t="str">
        <f>détail!B110</f>
        <v>Gain de la parcelle après les 10eres années</v>
      </c>
      <c r="C76" s="129"/>
      <c r="D76" s="130" t="e">
        <f>détail!E110</f>
        <v>#DIV/0!</v>
      </c>
      <c r="E76" s="130" t="str">
        <f>détail!F110</f>
        <v>€/ha</v>
      </c>
      <c r="F76" s="130" t="e">
        <f t="shared" si="4"/>
        <v>#DIV/0!</v>
      </c>
      <c r="G76" s="184" t="str">
        <f t="shared" si="0"/>
        <v>CHF/ha</v>
      </c>
    </row>
    <row r="77" spans="1:7" ht="15.75" thickBot="1" x14ac:dyDescent="0.3">
      <c r="A77" s="252"/>
      <c r="B77" s="160"/>
      <c r="C77" s="161" t="str">
        <f>détail!B111</f>
        <v>dont généré par l'irrigation</v>
      </c>
      <c r="D77" s="162" t="e">
        <f>détail!E111</f>
        <v>#DIV/0!</v>
      </c>
      <c r="E77" s="162" t="str">
        <f>détail!F111</f>
        <v>€/ha</v>
      </c>
      <c r="F77" s="162" t="e">
        <f t="shared" si="4"/>
        <v>#DIV/0!</v>
      </c>
      <c r="G77" s="185" t="str">
        <f t="shared" si="0"/>
        <v>CHF/ha</v>
      </c>
    </row>
    <row r="78" spans="1:7" ht="15.75" thickBot="1" x14ac:dyDescent="0.3">
      <c r="A78" s="186"/>
      <c r="B78" s="122"/>
      <c r="C78" s="109"/>
      <c r="D78" s="122"/>
      <c r="E78" s="122"/>
      <c r="F78" s="109"/>
      <c r="G78" s="187"/>
    </row>
    <row r="79" spans="1:7" x14ac:dyDescent="0.25">
      <c r="A79" s="241" t="s">
        <v>108</v>
      </c>
      <c r="B79" s="163" t="s">
        <v>113</v>
      </c>
      <c r="C79" s="165"/>
      <c r="D79" s="166" t="e">
        <f>détail!C113</f>
        <v>#DIV/0!</v>
      </c>
      <c r="E79" s="166" t="str">
        <f>détail!D113</f>
        <v>€/m3</v>
      </c>
      <c r="F79" s="167" t="e">
        <f>IF(LEFT(E79,1)="€",D79*$I$2,D79*1/$I$2)</f>
        <v>#DIV/0!</v>
      </c>
      <c r="G79" s="188" t="str">
        <f>IF(LEFT(E79,1)="€",REPLACE(E79,1,1,"CHF"),REPLACE(E79,1,3,"€"))</f>
        <v>CHF/m3</v>
      </c>
    </row>
    <row r="80" spans="1:7" ht="15.75" thickBot="1" x14ac:dyDescent="0.3">
      <c r="A80" s="242"/>
      <c r="B80" s="164" t="s">
        <v>114</v>
      </c>
      <c r="C80" s="189"/>
      <c r="D80" s="190" t="e">
        <f>détail!C114</f>
        <v>#DIV/0!</v>
      </c>
      <c r="E80" s="190" t="str">
        <f>détail!D114</f>
        <v>€/m3</v>
      </c>
      <c r="F80" s="191" t="e">
        <f>IF(LEFT(E80,1)="€",D80*$I$2,D80*1/$I$2)</f>
        <v>#DIV/0!</v>
      </c>
      <c r="G80" s="192" t="str">
        <f>IF(LEFT(E80,1)="€",REPLACE(E80,1,1,"CHF"),REPLACE(E80,1,3,"€"))</f>
        <v>CHF/m3</v>
      </c>
    </row>
    <row r="81" ht="15.75" thickTop="1" x14ac:dyDescent="0.25"/>
  </sheetData>
  <mergeCells count="20">
    <mergeCell ref="A79:A80"/>
    <mergeCell ref="A18:G18"/>
    <mergeCell ref="A1:G1"/>
    <mergeCell ref="A23:G23"/>
    <mergeCell ref="A63:A77"/>
    <mergeCell ref="A10:A15"/>
    <mergeCell ref="D4:G4"/>
    <mergeCell ref="A4:A8"/>
    <mergeCell ref="A24:A33"/>
    <mergeCell ref="A35:A42"/>
    <mergeCell ref="A46:A61"/>
    <mergeCell ref="A2:G2"/>
    <mergeCell ref="B19:C19"/>
    <mergeCell ref="B20:C20"/>
    <mergeCell ref="A19:A21"/>
    <mergeCell ref="B4:C4"/>
    <mergeCell ref="B5:C5"/>
    <mergeCell ref="B6:C6"/>
    <mergeCell ref="B7:C7"/>
    <mergeCell ref="B8:C8"/>
  </mergeCells>
  <pageMargins left="1" right="1" top="1" bottom="1" header="0.5" footer="0.5"/>
  <pageSetup paperSize="8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détail</vt:lpstr>
      <vt:lpstr>synthèse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NIOGRET Thomas</dc:creator>
  <cp:lastModifiedBy>Valérie Garcia</cp:lastModifiedBy>
  <cp:lastPrinted>2022-06-30T15:22:08Z</cp:lastPrinted>
  <dcterms:created xsi:type="dcterms:W3CDTF">2015-06-05T18:19:34Z</dcterms:created>
  <dcterms:modified xsi:type="dcterms:W3CDTF">2023-02-06T14:57:05Z</dcterms:modified>
</cp:coreProperties>
</file>